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filterPrivacy="1" codeName="DieseArbeitsmappe" defaultThemeVersion="124226"/>
  <xr:revisionPtr revIDLastSave="657" documentId="8_{01093896-913F-4C3A-A5CF-D6B0B661C15E}" xr6:coauthVersionLast="47" xr6:coauthVersionMax="47" xr10:uidLastSave="{C9A8A1BA-7B33-4173-866B-7D3CE0DC0B81}"/>
  <workbookProtection workbookAlgorithmName="SHA-512" workbookHashValue="uENF5w+R+wpjn0/bMP6ojn8p2HXJezBe0LUbD9fqi35/OACbDdZ27/EM5M/zUh80FVLg5nag04eSuWqvFw0ndQ==" workbookSaltValue="trC+rD0uVWP70ZdYmwORMQ==" workbookSpinCount="100000" lockStructure="1"/>
  <bookViews>
    <workbookView xWindow="-93" yWindow="-93" windowWidth="25786" windowHeight="13866" xr2:uid="{892063E7-7001-48BB-86A4-08DF5E54D066}"/>
  </bookViews>
  <sheets>
    <sheet name="FrontPage" sheetId="59" r:id="rId1"/>
    <sheet name="Instructions" sheetId="57" r:id="rId2"/>
    <sheet name="Cost-of-Service" sheetId="26" r:id="rId3"/>
    <sheet name="Visualization" sheetId="45" r:id="rId4"/>
    <sheet name="Grid Connection" sheetId="53" state="hidden" r:id="rId5"/>
    <sheet name="Storage Size" sheetId="52" state="hidden" r:id="rId6"/>
    <sheet name="Applications" sheetId="31" r:id="rId7"/>
    <sheet name="Wohler-Curve" sheetId="60" state="hidden" r:id="rId8"/>
    <sheet name="Methodology" sheetId="58" r:id="rId9"/>
    <sheet name="List of PCUs" sheetId="54" state="hidden" r:id="rId10"/>
    <sheet name="List of Storage Technologies" sheetId="41" state="hidden" r:id="rId11"/>
    <sheet name="Financials" sheetId="56" state="hidden" r:id="rId12"/>
    <sheet name="Overview 2016 (in)" sheetId="19" state="hidden" r:id="rId13"/>
    <sheet name="Pumped Hydro (calc)" sheetId="1" state="hidden" r:id="rId14"/>
    <sheet name="Pumped Hydro" sheetId="22" state="hidden" r:id="rId15"/>
    <sheet name="CAES (calc)" sheetId="5" state="hidden" r:id="rId16"/>
    <sheet name="CAES" sheetId="23" state="hidden" r:id="rId17"/>
    <sheet name="Flywheel (calc)" sheetId="6" state="hidden" r:id="rId18"/>
    <sheet name="Flywheel" sheetId="25" state="hidden" r:id="rId19"/>
    <sheet name="Flooded LA (calc)" sheetId="17" state="hidden" r:id="rId20"/>
    <sheet name="Flooded LA" sheetId="24" state="hidden" r:id="rId21"/>
    <sheet name="VRLA (calc)" sheetId="16" state="hidden" r:id="rId22"/>
    <sheet name="VRLA" sheetId="33" state="hidden" r:id="rId23"/>
    <sheet name="Li-Ion (NMC) (calc)" sheetId="8" state="hidden" r:id="rId24"/>
    <sheet name="Li-Ion (NMC)" sheetId="34" state="hidden" r:id="rId25"/>
    <sheet name="Li-Ion (LFP) (calc)" sheetId="10" state="hidden" r:id="rId26"/>
    <sheet name="Li-Ion (LFP)" sheetId="37" state="hidden" r:id="rId27"/>
    <sheet name="Li-Ion (Titanate) (calc)" sheetId="11" state="hidden" r:id="rId28"/>
    <sheet name="Li-Ion (Titanate)" sheetId="36" state="hidden" r:id="rId29"/>
    <sheet name="SIB (Layered oxide) (calc)" sheetId="47" state="hidden" r:id="rId30"/>
    <sheet name="SIB (Layered oxide)" sheetId="46" state="hidden" r:id="rId31"/>
    <sheet name="ZnBr (Zinc ion) (calc)" sheetId="50" state="hidden" r:id="rId32"/>
    <sheet name="ZnBr (Zinc ion)" sheetId="51" state="hidden" r:id="rId33"/>
    <sheet name="NaNiCl (calc)" sheetId="12" state="hidden" r:id="rId34"/>
    <sheet name="NaNiCl" sheetId="38" state="hidden" r:id="rId35"/>
    <sheet name="NaS (calc)" sheetId="13" state="hidden" r:id="rId36"/>
    <sheet name="NaS" sheetId="39" state="hidden" r:id="rId37"/>
    <sheet name="Vanadium Flow (calc)" sheetId="14" state="hidden" r:id="rId38"/>
    <sheet name="Vanadium Flow" sheetId="40" state="hidden" r:id="rId39"/>
    <sheet name="ZnBr Flow (calc)" sheetId="15" state="hidden" r:id="rId40"/>
    <sheet name="ZnBr Flow" sheetId="30" state="hidden" r:id="rId41"/>
    <sheet name="Inverter small (calc)" sheetId="20" state="hidden" r:id="rId42"/>
    <sheet name="Inverter small" sheetId="27" state="hidden" r:id="rId43"/>
    <sheet name="Inverter large (calc)" sheetId="21" state="hidden" r:id="rId44"/>
    <sheet name="Inverter large" sheetId="28" state="hidden" r:id="rId45"/>
    <sheet name="No Inverter" sheetId="29" state="hidden" r:id="rId46"/>
    <sheet name="Generator PHS" sheetId="42" state="hidden" r:id="rId47"/>
    <sheet name="Generator CAES" sheetId="43" state="hidden" r:id="rId48"/>
    <sheet name="Generator Flywheel" sheetId="44" state="hidden" r:id="rId49"/>
    <sheet name="Modular Multilevel Converter" sheetId="55" state="hidden" r:id="rId50"/>
  </sheets>
  <definedNames>
    <definedName name="Applications" localSheetId="7">'Wohler-Curve'!#REF!</definedName>
    <definedName name="Applications">Applications!$B$5:$B$47</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Speichertechnologien" localSheetId="9">'List of PCUs'!$A$1:$A$41</definedName>
    <definedName name="Speichertechnologien">'List of Storage Technologies'!$A$1:$A$39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7" i="26" l="1"/>
  <c r="E6" i="31"/>
  <c r="E7" i="31"/>
  <c r="E8" i="31"/>
  <c r="E9" i="31"/>
  <c r="E10" i="31"/>
  <c r="E11" i="31"/>
  <c r="E12" i="31"/>
  <c r="E13" i="31"/>
  <c r="E14" i="31"/>
  <c r="E15" i="31"/>
  <c r="G15" i="31"/>
  <c r="E16" i="31"/>
  <c r="G18" i="31"/>
  <c r="E22" i="31"/>
  <c r="D10" i="60"/>
  <c r="D11" i="60"/>
  <c r="D12" i="60"/>
  <c r="D13" i="60"/>
  <c r="D14" i="60"/>
  <c r="D15" i="60"/>
  <c r="D16" i="60"/>
  <c r="D17" i="60"/>
  <c r="D18" i="60"/>
  <c r="D19" i="60"/>
  <c r="D20" i="60"/>
  <c r="D21" i="60"/>
  <c r="D22" i="60"/>
  <c r="D23" i="60"/>
  <c r="D24" i="60"/>
  <c r="D25" i="60"/>
  <c r="D26" i="60"/>
  <c r="D27" i="60"/>
  <c r="D28" i="60"/>
  <c r="D29" i="60"/>
  <c r="F14" i="45" l="1"/>
  <c r="F26" i="45" s="1"/>
  <c r="F13" i="51" l="1"/>
  <c r="G13" i="51"/>
  <c r="F13" i="46"/>
  <c r="G13" i="46"/>
  <c r="K6" i="46"/>
  <c r="J6" i="46"/>
  <c r="I6" i="46"/>
  <c r="H6" i="46"/>
  <c r="G6" i="46"/>
  <c r="F6" i="46"/>
  <c r="H6" i="51"/>
  <c r="G6" i="51"/>
  <c r="F6" i="51"/>
  <c r="K6" i="51"/>
  <c r="J6" i="51"/>
  <c r="I6" i="51"/>
  <c r="K12" i="51"/>
  <c r="J12" i="51"/>
  <c r="I12" i="51"/>
  <c r="H12" i="51"/>
  <c r="G12" i="51"/>
  <c r="F12" i="51"/>
  <c r="H9" i="51"/>
  <c r="G9" i="51"/>
  <c r="F9" i="51"/>
  <c r="K12" i="46"/>
  <c r="J12" i="46"/>
  <c r="I12" i="46"/>
  <c r="H12" i="46"/>
  <c r="G12" i="46"/>
  <c r="F12" i="46"/>
  <c r="K9" i="46"/>
  <c r="K16" i="30" l="1"/>
  <c r="J16" i="30"/>
  <c r="I16" i="30"/>
  <c r="H16" i="30"/>
  <c r="G16" i="30"/>
  <c r="F16" i="30"/>
  <c r="E16" i="30"/>
  <c r="D16" i="30"/>
  <c r="C16" i="30"/>
  <c r="C66" i="15"/>
  <c r="C65" i="15"/>
  <c r="C64" i="15"/>
  <c r="C63" i="15"/>
  <c r="C62" i="15"/>
  <c r="K16" i="39"/>
  <c r="J16" i="39"/>
  <c r="I16" i="39"/>
  <c r="H16" i="39"/>
  <c r="G16" i="39"/>
  <c r="F16" i="39"/>
  <c r="E16" i="39"/>
  <c r="D16" i="39"/>
  <c r="C16" i="39"/>
  <c r="K16" i="38"/>
  <c r="J16" i="38"/>
  <c r="I16" i="38"/>
  <c r="H16" i="38"/>
  <c r="G16" i="38"/>
  <c r="F16" i="38"/>
  <c r="E16" i="38"/>
  <c r="D16" i="38"/>
  <c r="C16" i="38"/>
  <c r="J16" i="51"/>
  <c r="I16" i="51"/>
  <c r="G16" i="51"/>
  <c r="F16" i="51"/>
  <c r="H65" i="50"/>
  <c r="E65" i="50" s="1"/>
  <c r="C16" i="51"/>
  <c r="D16" i="51"/>
  <c r="E16" i="51"/>
  <c r="H66" i="50"/>
  <c r="E66" i="50" s="1"/>
  <c r="G16" i="46"/>
  <c r="J16" i="46" s="1"/>
  <c r="F16" i="46"/>
  <c r="I16" i="46" s="1"/>
  <c r="C16" i="46"/>
  <c r="D16" i="46"/>
  <c r="E16" i="46"/>
  <c r="D9" i="8"/>
  <c r="E9" i="8"/>
  <c r="C9" i="8"/>
  <c r="C16" i="34" s="1"/>
  <c r="D9" i="10"/>
  <c r="E9" i="10"/>
  <c r="C9" i="10"/>
  <c r="E90" i="11"/>
  <c r="E9" i="11"/>
  <c r="D9" i="11"/>
  <c r="C9" i="11"/>
  <c r="C16" i="36"/>
  <c r="D16" i="36" s="1"/>
  <c r="E16" i="36" s="1"/>
  <c r="F16" i="36" s="1"/>
  <c r="G16" i="36" s="1"/>
  <c r="H16" i="36" s="1"/>
  <c r="I16" i="36" s="1"/>
  <c r="J16" i="36" s="1"/>
  <c r="K16" i="36" s="1"/>
  <c r="D16" i="37"/>
  <c r="C16" i="37"/>
  <c r="F16" i="37" s="1"/>
  <c r="I16" i="37" s="1"/>
  <c r="J16" i="34"/>
  <c r="G16" i="34"/>
  <c r="D16" i="34"/>
  <c r="D16" i="33"/>
  <c r="J16" i="33" s="1"/>
  <c r="C16" i="33"/>
  <c r="I16" i="33" s="1"/>
  <c r="C69" i="16"/>
  <c r="C68" i="16"/>
  <c r="C67" i="16"/>
  <c r="J67" i="16" s="1"/>
  <c r="D16" i="24"/>
  <c r="G16" i="24" s="1"/>
  <c r="J16" i="24" s="1"/>
  <c r="C16" i="24"/>
  <c r="F16" i="24" s="1"/>
  <c r="I16" i="24" s="1"/>
  <c r="E16" i="23"/>
  <c r="H16" i="23" s="1"/>
  <c r="D16" i="23"/>
  <c r="G16" i="23" s="1"/>
  <c r="C16" i="23"/>
  <c r="I16" i="23" s="1"/>
  <c r="G16" i="22"/>
  <c r="J16" i="22" s="1"/>
  <c r="D16" i="22"/>
  <c r="C16" i="22"/>
  <c r="F16" i="22" s="1"/>
  <c r="I16" i="22" s="1"/>
  <c r="C49" i="1"/>
  <c r="J49" i="1"/>
  <c r="C42" i="1"/>
  <c r="C35" i="1"/>
  <c r="C28" i="1"/>
  <c r="E9" i="50"/>
  <c r="F5" i="51"/>
  <c r="G5" i="51"/>
  <c r="G5" i="46"/>
  <c r="F5" i="46"/>
  <c r="H5" i="46" s="1"/>
  <c r="K8" i="51"/>
  <c r="G10" i="51"/>
  <c r="K5" i="51"/>
  <c r="G16" i="37"/>
  <c r="J16" i="37" s="1"/>
  <c r="D16" i="40"/>
  <c r="G16" i="40" s="1"/>
  <c r="J16" i="40" s="1"/>
  <c r="C16" i="40"/>
  <c r="F16" i="40" s="1"/>
  <c r="I16" i="40" s="1"/>
  <c r="C59" i="14"/>
  <c r="C9" i="14"/>
  <c r="E6" i="50"/>
  <c r="H62" i="50"/>
  <c r="E62" i="50" s="1"/>
  <c r="H63" i="47"/>
  <c r="E63" i="47" s="1"/>
  <c r="C61" i="47"/>
  <c r="E61" i="47"/>
  <c r="C60" i="50"/>
  <c r="H60" i="50" s="1"/>
  <c r="D60" i="50" s="1"/>
  <c r="H69" i="50"/>
  <c r="D69" i="50" s="1"/>
  <c r="G14" i="51"/>
  <c r="F14" i="51"/>
  <c r="C32" i="47"/>
  <c r="G44" i="21"/>
  <c r="F44" i="21"/>
  <c r="D44" i="21"/>
  <c r="F37" i="21"/>
  <c r="D37" i="21"/>
  <c r="H30" i="21"/>
  <c r="E30" i="21"/>
  <c r="H23" i="21"/>
  <c r="E23" i="21"/>
  <c r="E23" i="20"/>
  <c r="C44" i="21"/>
  <c r="C37" i="21"/>
  <c r="C30" i="21"/>
  <c r="C23" i="21"/>
  <c r="G44" i="20"/>
  <c r="F44" i="20"/>
  <c r="D44" i="20"/>
  <c r="F37" i="20"/>
  <c r="D37" i="20"/>
  <c r="H30" i="20"/>
  <c r="E30" i="20"/>
  <c r="H23" i="20"/>
  <c r="C44" i="20"/>
  <c r="C37" i="20"/>
  <c r="C30" i="20"/>
  <c r="C23" i="20"/>
  <c r="E7" i="30"/>
  <c r="J9" i="30"/>
  <c r="G9" i="30"/>
  <c r="D9" i="30"/>
  <c r="E9" i="30" s="1"/>
  <c r="C9" i="15"/>
  <c r="C8" i="15"/>
  <c r="C7" i="15"/>
  <c r="H40" i="15"/>
  <c r="E40" i="15"/>
  <c r="H33" i="15"/>
  <c r="E33" i="15"/>
  <c r="G27" i="15"/>
  <c r="G26" i="15"/>
  <c r="H41" i="14"/>
  <c r="E41" i="14"/>
  <c r="H34" i="14"/>
  <c r="E34" i="14"/>
  <c r="G28" i="14"/>
  <c r="G27" i="14"/>
  <c r="K54" i="15"/>
  <c r="F54" i="15" s="1"/>
  <c r="C59" i="15"/>
  <c r="E71" i="14"/>
  <c r="J71" i="14" s="1"/>
  <c r="J9" i="40"/>
  <c r="G9" i="40"/>
  <c r="D9" i="40"/>
  <c r="C68" i="14"/>
  <c r="C8" i="14"/>
  <c r="C75" i="14" s="1"/>
  <c r="E63" i="14"/>
  <c r="K44" i="13"/>
  <c r="G44" i="13"/>
  <c r="F44" i="13"/>
  <c r="J44" i="13"/>
  <c r="F51" i="13"/>
  <c r="H55" i="14"/>
  <c r="E55" i="14"/>
  <c r="D4" i="14" s="1"/>
  <c r="E4" i="13"/>
  <c r="D4" i="13"/>
  <c r="E51" i="13"/>
  <c r="H37" i="13"/>
  <c r="E37" i="13"/>
  <c r="H30" i="13"/>
  <c r="E30" i="13"/>
  <c r="G24" i="13"/>
  <c r="G23" i="13"/>
  <c r="E38" i="12"/>
  <c r="G24" i="12"/>
  <c r="E24" i="12"/>
  <c r="C7" i="50"/>
  <c r="E15" i="51"/>
  <c r="D15" i="51"/>
  <c r="C15" i="51"/>
  <c r="E14" i="51"/>
  <c r="D14" i="51"/>
  <c r="C14" i="51"/>
  <c r="E13" i="51"/>
  <c r="D13" i="51"/>
  <c r="C13" i="51"/>
  <c r="E12" i="51"/>
  <c r="D12" i="51"/>
  <c r="C12" i="51"/>
  <c r="E11" i="51"/>
  <c r="D11" i="51"/>
  <c r="C11" i="51"/>
  <c r="E10" i="51"/>
  <c r="D10" i="51"/>
  <c r="C10" i="51"/>
  <c r="E9" i="51"/>
  <c r="D9" i="51"/>
  <c r="C9" i="51"/>
  <c r="E8" i="51"/>
  <c r="D8" i="51"/>
  <c r="C8" i="51"/>
  <c r="E7" i="51"/>
  <c r="D7" i="51"/>
  <c r="C7" i="51"/>
  <c r="E6" i="51"/>
  <c r="D6" i="51"/>
  <c r="C6" i="51"/>
  <c r="E5" i="51"/>
  <c r="D5" i="51"/>
  <c r="C5" i="51"/>
  <c r="D5" i="46"/>
  <c r="E5" i="46"/>
  <c r="D6" i="46"/>
  <c r="E6" i="46"/>
  <c r="D7" i="46"/>
  <c r="E7" i="46"/>
  <c r="D8" i="46"/>
  <c r="E8" i="46"/>
  <c r="D9" i="46"/>
  <c r="E9" i="46"/>
  <c r="D10" i="46"/>
  <c r="E10" i="46"/>
  <c r="D11" i="46"/>
  <c r="E11" i="46"/>
  <c r="D12" i="46"/>
  <c r="E12" i="46"/>
  <c r="D13" i="46"/>
  <c r="E13" i="46"/>
  <c r="D14" i="46"/>
  <c r="E14" i="46"/>
  <c r="D15" i="46"/>
  <c r="E15" i="46"/>
  <c r="C6" i="46"/>
  <c r="C7" i="46"/>
  <c r="C8" i="46"/>
  <c r="C9" i="46"/>
  <c r="C10" i="46"/>
  <c r="C11" i="46"/>
  <c r="C12" i="46"/>
  <c r="C13" i="46"/>
  <c r="C14" i="46"/>
  <c r="C15" i="46"/>
  <c r="C5" i="46"/>
  <c r="H9" i="46"/>
  <c r="G9" i="46"/>
  <c r="F9" i="46"/>
  <c r="I9" i="46" s="1"/>
  <c r="E6" i="11"/>
  <c r="H50" i="11"/>
  <c r="E50" i="11"/>
  <c r="F43" i="11"/>
  <c r="D43" i="11"/>
  <c r="H36" i="11"/>
  <c r="E36" i="11"/>
  <c r="G30" i="11"/>
  <c r="G29" i="11"/>
  <c r="H58" i="10"/>
  <c r="E58" i="10"/>
  <c r="F51" i="10"/>
  <c r="D51" i="10"/>
  <c r="H44" i="10"/>
  <c r="E44" i="10"/>
  <c r="G38" i="10"/>
  <c r="G37" i="10"/>
  <c r="D122" i="10"/>
  <c r="H53" i="8"/>
  <c r="E53" i="8"/>
  <c r="F46" i="8"/>
  <c r="D46" i="8"/>
  <c r="H39" i="8"/>
  <c r="E39" i="8"/>
  <c r="G33" i="8"/>
  <c r="G32" i="8"/>
  <c r="K60" i="16"/>
  <c r="F60" i="16" s="1"/>
  <c r="K61" i="17"/>
  <c r="H32" i="16"/>
  <c r="E32" i="16"/>
  <c r="G26" i="16"/>
  <c r="G25" i="16"/>
  <c r="H33" i="17"/>
  <c r="E33" i="17"/>
  <c r="G27" i="17"/>
  <c r="G26" i="17"/>
  <c r="H32" i="1"/>
  <c r="H31" i="1"/>
  <c r="E32" i="1"/>
  <c r="E31" i="1"/>
  <c r="G25" i="1"/>
  <c r="G24" i="1"/>
  <c r="G27" i="5"/>
  <c r="D17" i="56"/>
  <c r="D4" i="56"/>
  <c r="D5" i="56"/>
  <c r="D6" i="56"/>
  <c r="D7" i="56"/>
  <c r="D8" i="56"/>
  <c r="D9" i="56"/>
  <c r="D10" i="56"/>
  <c r="D11" i="56"/>
  <c r="D12" i="56"/>
  <c r="D13" i="56"/>
  <c r="D14" i="56"/>
  <c r="D15" i="56"/>
  <c r="D16" i="56"/>
  <c r="D18" i="56"/>
  <c r="D3" i="56"/>
  <c r="C3" i="26"/>
  <c r="L16" i="26"/>
  <c r="K7" i="46"/>
  <c r="K15" i="46"/>
  <c r="K10" i="51"/>
  <c r="D16" i="26"/>
  <c r="K15" i="51"/>
  <c r="C16" i="26"/>
  <c r="K14" i="51"/>
  <c r="K16" i="51" l="1"/>
  <c r="K5" i="46"/>
  <c r="E8" i="47" s="1"/>
  <c r="H16" i="46"/>
  <c r="K16" i="46" s="1"/>
  <c r="H16" i="51"/>
  <c r="H5" i="51"/>
  <c r="E16" i="40"/>
  <c r="H16" i="40" s="1"/>
  <c r="K16" i="40" s="1"/>
  <c r="D65" i="50"/>
  <c r="D66" i="50"/>
  <c r="K9" i="51"/>
  <c r="I9" i="51" s="1"/>
  <c r="D62" i="50"/>
  <c r="E16" i="33"/>
  <c r="F16" i="33"/>
  <c r="G16" i="33"/>
  <c r="F16" i="34"/>
  <c r="I16" i="34" s="1"/>
  <c r="E16" i="34"/>
  <c r="H16" i="34" s="1"/>
  <c r="K16" i="34" s="1"/>
  <c r="E16" i="24"/>
  <c r="H16" i="24" s="1"/>
  <c r="K16" i="24" s="1"/>
  <c r="J16" i="23"/>
  <c r="F16" i="23"/>
  <c r="K16" i="23"/>
  <c r="E16" i="22"/>
  <c r="H16" i="22" s="1"/>
  <c r="K16" i="22" s="1"/>
  <c r="D63" i="47"/>
  <c r="E16" i="37"/>
  <c r="H61" i="47"/>
  <c r="D61" i="47" s="1"/>
  <c r="J55" i="14"/>
  <c r="G55" i="14" s="1"/>
  <c r="F4" i="14" s="1"/>
  <c r="C67" i="14"/>
  <c r="J63" i="14"/>
  <c r="F63" i="14" s="1"/>
  <c r="C61" i="26"/>
  <c r="J56" i="5"/>
  <c r="F56" i="5" s="1"/>
  <c r="K59" i="5"/>
  <c r="K56" i="5"/>
  <c r="E7" i="52"/>
  <c r="C4" i="5"/>
  <c r="C40" i="5" s="1"/>
  <c r="J40" i="5" s="1"/>
  <c r="C8" i="10"/>
  <c r="C7" i="10"/>
  <c r="C6" i="10"/>
  <c r="C5" i="10"/>
  <c r="C4" i="10"/>
  <c r="E135" i="10"/>
  <c r="E89" i="10"/>
  <c r="E83" i="10"/>
  <c r="K62" i="10"/>
  <c r="G62" i="10" s="1"/>
  <c r="K61" i="10"/>
  <c r="F61" i="10" s="1"/>
  <c r="K60" i="10"/>
  <c r="G60" i="10" s="1"/>
  <c r="K58" i="10"/>
  <c r="G58" i="10" s="1"/>
  <c r="K55" i="10"/>
  <c r="F55" i="10" s="1"/>
  <c r="K54" i="10"/>
  <c r="F54" i="10" s="1"/>
  <c r="K53" i="10"/>
  <c r="F53" i="10" s="1"/>
  <c r="K51" i="10"/>
  <c r="G51" i="10" s="1"/>
  <c r="K48" i="10"/>
  <c r="G48" i="10" s="1"/>
  <c r="K47" i="10"/>
  <c r="G47" i="10" s="1"/>
  <c r="K44" i="10"/>
  <c r="F44" i="10" s="1"/>
  <c r="F10" i="51"/>
  <c r="G8" i="51"/>
  <c r="F8" i="51"/>
  <c r="G7" i="51"/>
  <c r="F7" i="51"/>
  <c r="G15" i="51"/>
  <c r="F15" i="51"/>
  <c r="H15" i="51" s="1"/>
  <c r="H10" i="34"/>
  <c r="F16" i="26"/>
  <c r="E16" i="26"/>
  <c r="G16" i="26"/>
  <c r="H8" i="34"/>
  <c r="I5" i="46" l="1"/>
  <c r="K16" i="33"/>
  <c r="H16" i="33" a="1"/>
  <c r="H16" i="33" s="1"/>
  <c r="C38" i="10"/>
  <c r="C94" i="10"/>
  <c r="C143" i="10"/>
  <c r="C115" i="10"/>
  <c r="C59" i="10"/>
  <c r="C108" i="10"/>
  <c r="C45" i="10"/>
  <c r="C150" i="10" s="1"/>
  <c r="C52" i="10"/>
  <c r="J52" i="10" s="1"/>
  <c r="C124" i="10"/>
  <c r="C117" i="10"/>
  <c r="C145" i="10"/>
  <c r="C110" i="10"/>
  <c r="C76" i="10"/>
  <c r="C118" i="10"/>
  <c r="C111" i="10"/>
  <c r="C146" i="10"/>
  <c r="C79" i="10"/>
  <c r="C44" i="10"/>
  <c r="C149" i="10" s="1"/>
  <c r="H149" i="10" s="1"/>
  <c r="C72" i="10"/>
  <c r="C86" i="10"/>
  <c r="C65" i="10"/>
  <c r="C37" i="10"/>
  <c r="C142" i="10"/>
  <c r="C107" i="10"/>
  <c r="C114" i="10"/>
  <c r="C58" i="10"/>
  <c r="C51" i="10"/>
  <c r="J51" i="10" s="1"/>
  <c r="C81" i="10"/>
  <c r="G81" i="10" s="1"/>
  <c r="E81" i="10" s="1"/>
  <c r="C144" i="10"/>
  <c r="C116" i="10"/>
  <c r="C109" i="10"/>
  <c r="C26" i="5"/>
  <c r="C48" i="5"/>
  <c r="J48" i="5" s="1"/>
  <c r="C33" i="5"/>
  <c r="J33" i="5" s="1"/>
  <c r="C56" i="5"/>
  <c r="H7" i="51"/>
  <c r="H16" i="37"/>
  <c r="F55" i="14"/>
  <c r="E4" i="14"/>
  <c r="J9" i="51"/>
  <c r="H10" i="51"/>
  <c r="K13" i="51"/>
  <c r="C121" i="10"/>
  <c r="H121" i="10" s="1"/>
  <c r="F121" i="10" s="1"/>
  <c r="J58" i="10"/>
  <c r="D58" i="10" s="1"/>
  <c r="F62" i="10"/>
  <c r="C88" i="10"/>
  <c r="F38" i="10"/>
  <c r="G72" i="10"/>
  <c r="E72" i="10" s="1"/>
  <c r="F58" i="10"/>
  <c r="C80" i="10"/>
  <c r="C39" i="10"/>
  <c r="J39" i="10" s="1"/>
  <c r="D39" i="10" s="1"/>
  <c r="G44" i="10"/>
  <c r="C89" i="10"/>
  <c r="G89" i="10" s="1"/>
  <c r="C40" i="10"/>
  <c r="J40" i="10" s="1"/>
  <c r="C61" i="10"/>
  <c r="J61" i="10" s="1"/>
  <c r="D61" i="10" s="1"/>
  <c r="C46" i="10"/>
  <c r="C151" i="10" s="1"/>
  <c r="C82" i="10"/>
  <c r="G82" i="10" s="1"/>
  <c r="E82" i="10" s="1"/>
  <c r="C47" i="10"/>
  <c r="F47" i="10"/>
  <c r="C68" i="10"/>
  <c r="C90" i="10"/>
  <c r="C66" i="10"/>
  <c r="C69" i="10"/>
  <c r="C67" i="10"/>
  <c r="C122" i="10"/>
  <c r="C74" i="10"/>
  <c r="C60" i="10"/>
  <c r="C53" i="10"/>
  <c r="J53" i="10" s="1"/>
  <c r="C83" i="10"/>
  <c r="G83" i="10" s="1"/>
  <c r="C48" i="10"/>
  <c r="C153" i="10" s="1"/>
  <c r="C54" i="10"/>
  <c r="J54" i="10" s="1"/>
  <c r="C123" i="10"/>
  <c r="C62" i="10"/>
  <c r="F60" i="10"/>
  <c r="C75" i="10"/>
  <c r="G75" i="10" s="1"/>
  <c r="E75" i="10" s="1"/>
  <c r="C87" i="10"/>
  <c r="F48" i="10"/>
  <c r="C125" i="10"/>
  <c r="G61" i="10"/>
  <c r="C73" i="10"/>
  <c r="C41" i="10"/>
  <c r="C55" i="10"/>
  <c r="J55" i="10" s="1"/>
  <c r="I15" i="51"/>
  <c r="J15" i="51"/>
  <c r="F15" i="46"/>
  <c r="H15" i="46" s="1"/>
  <c r="G15" i="46"/>
  <c r="G10" i="46"/>
  <c r="F10" i="46"/>
  <c r="G7" i="46"/>
  <c r="F7" i="46"/>
  <c r="D6" i="11"/>
  <c r="F80" i="11"/>
  <c r="E80" i="11"/>
  <c r="K57" i="11"/>
  <c r="G57" i="11" s="1"/>
  <c r="E91" i="8"/>
  <c r="F91" i="8" s="1"/>
  <c r="E90" i="8"/>
  <c r="F90" i="8" s="1"/>
  <c r="E76" i="8"/>
  <c r="K42" i="8"/>
  <c r="C4" i="8"/>
  <c r="C109" i="8" s="1"/>
  <c r="H109" i="8" s="1"/>
  <c r="K46" i="8"/>
  <c r="G46" i="8" s="1"/>
  <c r="H5" i="34"/>
  <c r="F5" i="34"/>
  <c r="H10" i="36"/>
  <c r="H7" i="34"/>
  <c r="K15" i="37"/>
  <c r="K8" i="34"/>
  <c r="I16" i="26"/>
  <c r="H16" i="26"/>
  <c r="J16" i="26"/>
  <c r="K7" i="51"/>
  <c r="H15" i="34"/>
  <c r="H7" i="36"/>
  <c r="K8" i="36"/>
  <c r="K7" i="37"/>
  <c r="H14" i="36"/>
  <c r="H7" i="37"/>
  <c r="K8" i="37"/>
  <c r="K10" i="36"/>
  <c r="H10" i="37"/>
  <c r="K14" i="37"/>
  <c r="K15" i="34"/>
  <c r="K10" i="34"/>
  <c r="H15" i="37"/>
  <c r="K10" i="37"/>
  <c r="K7" i="34"/>
  <c r="H8" i="36"/>
  <c r="H8" i="37"/>
  <c r="K15" i="36"/>
  <c r="J13" i="51" l="1"/>
  <c r="I13" i="51"/>
  <c r="G142" i="10"/>
  <c r="E142" i="10" s="1"/>
  <c r="J47" i="10"/>
  <c r="D47" i="10" s="1"/>
  <c r="C152" i="10"/>
  <c r="H152" i="10" s="1"/>
  <c r="C53" i="8"/>
  <c r="C74" i="8"/>
  <c r="C102" i="8"/>
  <c r="H102" i="8" s="1"/>
  <c r="F102" i="8" s="1"/>
  <c r="C67" i="8"/>
  <c r="C46" i="8"/>
  <c r="C39" i="8"/>
  <c r="C81" i="8"/>
  <c r="C88" i="8"/>
  <c r="H88" i="8" s="1"/>
  <c r="C32" i="8"/>
  <c r="J32" i="8" s="1"/>
  <c r="F32" i="8" s="1"/>
  <c r="C95" i="8"/>
  <c r="K16" i="37"/>
  <c r="H10" i="46"/>
  <c r="K10" i="46" s="1"/>
  <c r="I10" i="46" s="1"/>
  <c r="F57" i="11"/>
  <c r="E121" i="10"/>
  <c r="H114" i="10"/>
  <c r="H107" i="10"/>
  <c r="D38" i="10"/>
  <c r="H93" i="10"/>
  <c r="G88" i="10"/>
  <c r="E88" i="10" s="1"/>
  <c r="D40" i="10"/>
  <c r="G67" i="8"/>
  <c r="G8" i="34"/>
  <c r="F40" i="10"/>
  <c r="J7" i="51"/>
  <c r="I7" i="51"/>
  <c r="H7" i="46"/>
  <c r="F39" i="10"/>
  <c r="J65" i="10"/>
  <c r="K65" i="10"/>
  <c r="G74" i="10"/>
  <c r="E74" i="10" s="1"/>
  <c r="J60" i="10"/>
  <c r="D60" i="10" s="1"/>
  <c r="J48" i="10"/>
  <c r="D48" i="10" s="1"/>
  <c r="J37" i="10"/>
  <c r="D37" i="10" s="1"/>
  <c r="J62" i="10"/>
  <c r="D62" i="10" s="1"/>
  <c r="J41" i="10"/>
  <c r="F41" i="10" s="1"/>
  <c r="J44" i="10"/>
  <c r="D44" i="10" s="1"/>
  <c r="F8" i="34"/>
  <c r="C78" i="26"/>
  <c r="C79" i="26" s="1"/>
  <c r="K78" i="26"/>
  <c r="K79" i="26" s="1"/>
  <c r="J78" i="26"/>
  <c r="J79" i="26" s="1"/>
  <c r="I78" i="26"/>
  <c r="I79" i="26" s="1"/>
  <c r="H78" i="26"/>
  <c r="H79" i="26" s="1"/>
  <c r="G78" i="26"/>
  <c r="G79" i="26" s="1"/>
  <c r="F78" i="26"/>
  <c r="F79" i="26" s="1"/>
  <c r="E78" i="26"/>
  <c r="E79" i="26" s="1"/>
  <c r="D78" i="26"/>
  <c r="D79" i="26" s="1"/>
  <c r="C58" i="26"/>
  <c r="K16" i="26"/>
  <c r="K8" i="46"/>
  <c r="H14" i="37"/>
  <c r="H81" i="8" l="1"/>
  <c r="E81" i="8" s="1"/>
  <c r="G74" i="8"/>
  <c r="E74" i="8" s="1"/>
  <c r="D41" i="10"/>
  <c r="F37" i="10"/>
  <c r="G65" i="10"/>
  <c r="F65" i="10"/>
  <c r="F8" i="46"/>
  <c r="G8" i="46"/>
  <c r="F81" i="8"/>
  <c r="E67" i="8"/>
  <c r="C60" i="26"/>
  <c r="D60" i="26"/>
  <c r="E60" i="26"/>
  <c r="F60" i="26"/>
  <c r="G60" i="26"/>
  <c r="H60" i="26"/>
  <c r="I60" i="26"/>
  <c r="J60" i="26"/>
  <c r="K60" i="26"/>
  <c r="C40" i="26"/>
  <c r="D40" i="26"/>
  <c r="E40" i="26"/>
  <c r="F40" i="26"/>
  <c r="G40" i="26"/>
  <c r="H40" i="26"/>
  <c r="I40" i="26"/>
  <c r="J40" i="26"/>
  <c r="K40" i="26"/>
  <c r="F38" i="26"/>
  <c r="G38" i="26"/>
  <c r="H38" i="26"/>
  <c r="I38" i="26"/>
  <c r="J38" i="26"/>
  <c r="K38" i="26"/>
  <c r="F39" i="26"/>
  <c r="G39" i="26"/>
  <c r="H39" i="26"/>
  <c r="I39" i="26"/>
  <c r="J39" i="26"/>
  <c r="K39" i="26"/>
  <c r="F41" i="26"/>
  <c r="G41" i="26"/>
  <c r="H41" i="26"/>
  <c r="I41" i="26"/>
  <c r="J41" i="26"/>
  <c r="K41" i="26"/>
  <c r="C39" i="26"/>
  <c r="D39" i="26"/>
  <c r="E39" i="26"/>
  <c r="C41" i="26"/>
  <c r="D41" i="26"/>
  <c r="E41" i="26"/>
  <c r="D38" i="26"/>
  <c r="E38" i="26"/>
  <c r="C38" i="26"/>
  <c r="F58" i="26"/>
  <c r="G58" i="26"/>
  <c r="H58" i="26"/>
  <c r="I58" i="26"/>
  <c r="J58" i="26"/>
  <c r="K58" i="26"/>
  <c r="D58" i="26"/>
  <c r="E58" i="26"/>
  <c r="I59" i="26"/>
  <c r="K61" i="26"/>
  <c r="J61" i="26"/>
  <c r="I61" i="26"/>
  <c r="K59" i="26"/>
  <c r="J59" i="26"/>
  <c r="K56" i="26"/>
  <c r="J56" i="26"/>
  <c r="I56" i="26"/>
  <c r="K55" i="26"/>
  <c r="J55" i="26"/>
  <c r="I55" i="26"/>
  <c r="H61" i="26"/>
  <c r="G61" i="26"/>
  <c r="F61" i="26"/>
  <c r="H59" i="26"/>
  <c r="G59" i="26"/>
  <c r="F59" i="26"/>
  <c r="H56" i="26"/>
  <c r="G56" i="26"/>
  <c r="F56" i="26"/>
  <c r="H55" i="26"/>
  <c r="G55" i="26"/>
  <c r="F55" i="26"/>
  <c r="C56" i="26"/>
  <c r="D56" i="26"/>
  <c r="E56" i="26"/>
  <c r="C59" i="26"/>
  <c r="D59" i="26"/>
  <c r="E59" i="26"/>
  <c r="D61" i="26"/>
  <c r="E61" i="26"/>
  <c r="C55" i="26"/>
  <c r="K48" i="26"/>
  <c r="K90" i="26" s="1"/>
  <c r="J48" i="26"/>
  <c r="J90" i="26" s="1"/>
  <c r="I48" i="26"/>
  <c r="I90" i="26" s="1"/>
  <c r="K47" i="26"/>
  <c r="K88" i="26" s="1"/>
  <c r="J47" i="26"/>
  <c r="J88" i="26" s="1"/>
  <c r="I47" i="26"/>
  <c r="I88" i="26" s="1"/>
  <c r="H48" i="26"/>
  <c r="H90" i="26" s="1"/>
  <c r="G48" i="26"/>
  <c r="G90" i="26" s="1"/>
  <c r="F48" i="26"/>
  <c r="F90" i="26" s="1"/>
  <c r="H47" i="26"/>
  <c r="H88" i="26" s="1"/>
  <c r="G47" i="26"/>
  <c r="G88" i="26" s="1"/>
  <c r="F47" i="26"/>
  <c r="F88" i="26" s="1"/>
  <c r="C48" i="26"/>
  <c r="C90" i="26" s="1"/>
  <c r="D48" i="26"/>
  <c r="D90" i="26" s="1"/>
  <c r="E48" i="26"/>
  <c r="E90" i="26" s="1"/>
  <c r="D47" i="26"/>
  <c r="D88" i="26" s="1"/>
  <c r="E47" i="26"/>
  <c r="E88" i="26" s="1"/>
  <c r="C47" i="26"/>
  <c r="E8" i="52"/>
  <c r="E9" i="52"/>
  <c r="E10" i="52"/>
  <c r="E11" i="52"/>
  <c r="E12" i="52"/>
  <c r="E5" i="52"/>
  <c r="K49" i="26" s="1"/>
  <c r="K50" i="26" s="1"/>
  <c r="E6" i="52"/>
  <c r="E4" i="52"/>
  <c r="C7" i="34"/>
  <c r="K8" i="39"/>
  <c r="K15" i="33"/>
  <c r="K15" i="39"/>
  <c r="K10" i="25"/>
  <c r="K15" i="40"/>
  <c r="K15" i="38"/>
  <c r="K7" i="39"/>
  <c r="K14" i="22"/>
  <c r="K8" i="33"/>
  <c r="K14" i="33"/>
  <c r="H10" i="30"/>
  <c r="K14" i="30"/>
  <c r="K15" i="30"/>
  <c r="K8" i="30"/>
  <c r="K10" i="23"/>
  <c r="K10" i="40"/>
  <c r="K14" i="28"/>
  <c r="K15" i="22"/>
  <c r="K8" i="38"/>
  <c r="K7" i="30"/>
  <c r="F20" i="26"/>
  <c r="H14" i="34"/>
  <c r="K14" i="23"/>
  <c r="K8" i="28"/>
  <c r="F3" i="26"/>
  <c r="K10" i="24"/>
  <c r="K15" i="28"/>
  <c r="K7" i="40"/>
  <c r="K10" i="38"/>
  <c r="K7" i="23"/>
  <c r="K7" i="28"/>
  <c r="F4" i="26"/>
  <c r="K7" i="24"/>
  <c r="K7" i="33"/>
  <c r="K7" i="22"/>
  <c r="K8" i="40"/>
  <c r="K8" i="24"/>
  <c r="K15" i="24"/>
  <c r="K14" i="40"/>
  <c r="I4" i="26"/>
  <c r="K10" i="33"/>
  <c r="K8" i="23"/>
  <c r="K7" i="27"/>
  <c r="K10" i="30"/>
  <c r="K14" i="39"/>
  <c r="K14" i="27"/>
  <c r="K14" i="24"/>
  <c r="F21" i="26"/>
  <c r="K10" i="39"/>
  <c r="K10" i="22"/>
  <c r="K15" i="27"/>
  <c r="K8" i="27"/>
  <c r="K14" i="38"/>
  <c r="K8" i="22"/>
  <c r="K15" i="23"/>
  <c r="H7" i="22"/>
  <c r="I3" i="26"/>
  <c r="K7" i="38"/>
  <c r="H8" i="51" l="1"/>
  <c r="J8" i="51" s="1"/>
  <c r="H8" i="46"/>
  <c r="D57" i="26"/>
  <c r="H49" i="26"/>
  <c r="H50" i="26" s="1"/>
  <c r="D49" i="26"/>
  <c r="D50" i="26" s="1"/>
  <c r="J49" i="26"/>
  <c r="J50" i="26" s="1"/>
  <c r="C49" i="26"/>
  <c r="C50" i="26" s="1"/>
  <c r="F49" i="26"/>
  <c r="F50" i="26" s="1"/>
  <c r="G49" i="26"/>
  <c r="G50" i="26" s="1"/>
  <c r="I49" i="26"/>
  <c r="I50" i="26" s="1"/>
  <c r="E49" i="26"/>
  <c r="E50" i="26" s="1"/>
  <c r="C88" i="26"/>
  <c r="C89" i="26" s="1"/>
  <c r="C98" i="26"/>
  <c r="I89" i="26"/>
  <c r="J89" i="26"/>
  <c r="K89" i="26"/>
  <c r="F89" i="26"/>
  <c r="G89" i="26"/>
  <c r="H89" i="26"/>
  <c r="I98" i="26"/>
  <c r="C103" i="26"/>
  <c r="C104" i="26" s="1"/>
  <c r="K103" i="26"/>
  <c r="K104" i="26" s="1"/>
  <c r="D98" i="26"/>
  <c r="J103" i="26"/>
  <c r="J104" i="26" s="1"/>
  <c r="J98" i="26"/>
  <c r="I103" i="26"/>
  <c r="I104" i="26" s="1"/>
  <c r="H103" i="26"/>
  <c r="H104" i="26" s="1"/>
  <c r="G103" i="26"/>
  <c r="G104" i="26" s="1"/>
  <c r="F103" i="26"/>
  <c r="F104" i="26" s="1"/>
  <c r="E103" i="26"/>
  <c r="E104" i="26" s="1"/>
  <c r="D103" i="26"/>
  <c r="D104" i="26" s="1"/>
  <c r="H98" i="26"/>
  <c r="G98" i="26"/>
  <c r="F98" i="26"/>
  <c r="K98" i="26"/>
  <c r="E98" i="26"/>
  <c r="F57" i="26"/>
  <c r="J57" i="26"/>
  <c r="I57" i="26"/>
  <c r="G57" i="26"/>
  <c r="K57" i="26"/>
  <c r="H57" i="26"/>
  <c r="E57" i="26"/>
  <c r="C57" i="26"/>
  <c r="C5" i="50"/>
  <c r="K14" i="46"/>
  <c r="C20" i="26"/>
  <c r="E4" i="26"/>
  <c r="D4" i="26"/>
  <c r="C4" i="26"/>
  <c r="K14" i="34"/>
  <c r="C7" i="26"/>
  <c r="D21" i="26"/>
  <c r="E21" i="26"/>
  <c r="C21" i="26"/>
  <c r="C81" i="26" l="1"/>
  <c r="I8" i="51"/>
  <c r="J10" i="51"/>
  <c r="I10" i="51"/>
  <c r="C105" i="26"/>
  <c r="D55" i="26"/>
  <c r="D89" i="26" s="1"/>
  <c r="E55" i="26"/>
  <c r="E89" i="26" s="1"/>
  <c r="E67" i="26"/>
  <c r="F67" i="26" s="1"/>
  <c r="G67" i="26" s="1"/>
  <c r="H67" i="26" s="1"/>
  <c r="I67" i="26" s="1"/>
  <c r="J67" i="26" s="1"/>
  <c r="K67" i="26" s="1"/>
  <c r="D68" i="26"/>
  <c r="D70" i="26"/>
  <c r="E70" i="26" s="1"/>
  <c r="F70" i="26" s="1"/>
  <c r="G70" i="26" s="1"/>
  <c r="H70" i="26" s="1"/>
  <c r="I70" i="26" s="1"/>
  <c r="J70" i="26" s="1"/>
  <c r="K70" i="26" s="1"/>
  <c r="K105" i="26" s="1"/>
  <c r="D71" i="26"/>
  <c r="E71" i="26" s="1"/>
  <c r="F71" i="26" s="1"/>
  <c r="G71" i="26" s="1"/>
  <c r="H71" i="26" s="1"/>
  <c r="I71" i="26" s="1"/>
  <c r="J71" i="26" s="1"/>
  <c r="K71" i="26" s="1"/>
  <c r="D72" i="26"/>
  <c r="E72" i="26" s="1"/>
  <c r="F72" i="26" s="1"/>
  <c r="G72" i="26" s="1"/>
  <c r="H72" i="26" s="1"/>
  <c r="I72" i="26" s="1"/>
  <c r="J72" i="26" s="1"/>
  <c r="K72" i="26" s="1"/>
  <c r="J105" i="26" l="1"/>
  <c r="I105" i="26"/>
  <c r="H105" i="26"/>
  <c r="F105" i="26"/>
  <c r="G105" i="26"/>
  <c r="E105" i="26"/>
  <c r="D105" i="26"/>
  <c r="E68" i="26"/>
  <c r="F68" i="26" s="1"/>
  <c r="G68" i="26" s="1"/>
  <c r="H68" i="26" s="1"/>
  <c r="I68" i="26" s="1"/>
  <c r="J68" i="26" s="1"/>
  <c r="K68" i="26" s="1"/>
  <c r="K39" i="8"/>
  <c r="E52" i="11" l="1"/>
  <c r="H52" i="11"/>
  <c r="K13" i="46" l="1"/>
  <c r="K11" i="46"/>
  <c r="J15" i="46"/>
  <c r="I15" i="46"/>
  <c r="J10" i="46"/>
  <c r="J7" i="46"/>
  <c r="I7" i="46"/>
  <c r="C6" i="16"/>
  <c r="C62" i="16" s="1"/>
  <c r="C5" i="16"/>
  <c r="I13" i="46" l="1"/>
  <c r="J13" i="46"/>
  <c r="C61" i="16"/>
  <c r="C71" i="16"/>
  <c r="C33" i="16"/>
  <c r="C26" i="16"/>
  <c r="C47" i="16"/>
  <c r="C40" i="16"/>
  <c r="J9" i="46"/>
  <c r="I11" i="46"/>
  <c r="J11" i="46"/>
  <c r="C4" i="45" l="1"/>
  <c r="C24" i="45" s="1"/>
  <c r="B14" i="45"/>
  <c r="B25" i="45" s="1"/>
  <c r="F28" i="45"/>
  <c r="F27" i="45" l="1"/>
  <c r="K140" i="26" l="1"/>
  <c r="I140" i="26"/>
  <c r="J140" i="26"/>
  <c r="H140" i="26" l="1"/>
  <c r="F16" i="45" s="1"/>
  <c r="E8" i="44"/>
  <c r="D8" i="44"/>
  <c r="C8" i="44"/>
  <c r="D15" i="43"/>
  <c r="E15" i="43"/>
  <c r="C15" i="43"/>
  <c r="E13" i="34" l="1"/>
  <c r="E12" i="34"/>
  <c r="E11" i="34"/>
  <c r="E10" i="34"/>
  <c r="E9" i="34"/>
  <c r="E8" i="34"/>
  <c r="E7" i="34"/>
  <c r="E6" i="34"/>
  <c r="E5" i="34"/>
  <c r="E15" i="34"/>
  <c r="E14" i="34"/>
  <c r="H14" i="22"/>
  <c r="E6" i="26"/>
  <c r="E5" i="26"/>
  <c r="E8" i="26"/>
  <c r="E7" i="26"/>
  <c r="E10" i="26"/>
  <c r="E13" i="26"/>
  <c r="E9" i="26"/>
  <c r="H15" i="22"/>
  <c r="E11" i="26"/>
  <c r="E15" i="26"/>
  <c r="E12" i="26"/>
  <c r="O139" i="26" l="1"/>
  <c r="P139" i="26"/>
  <c r="E81" i="26"/>
  <c r="E93" i="26" s="1"/>
  <c r="E91" i="26"/>
  <c r="E92" i="26" s="1"/>
  <c r="E112" i="26" s="1"/>
  <c r="H11" i="34"/>
  <c r="K11" i="34" s="1"/>
  <c r="H6" i="34"/>
  <c r="H12" i="34"/>
  <c r="H9" i="34"/>
  <c r="H13" i="34"/>
  <c r="H14" i="23"/>
  <c r="H14" i="40"/>
  <c r="H15" i="30"/>
  <c r="H14" i="24"/>
  <c r="H15" i="40"/>
  <c r="H14" i="27"/>
  <c r="H14" i="38"/>
  <c r="H15" i="28"/>
  <c r="H15" i="36"/>
  <c r="H14" i="33"/>
  <c r="H15" i="39"/>
  <c r="H14" i="30"/>
  <c r="H14" i="28"/>
  <c r="H14" i="39"/>
  <c r="H15" i="38"/>
  <c r="H15" i="23"/>
  <c r="H15" i="27"/>
  <c r="H15" i="24"/>
  <c r="H15" i="33"/>
  <c r="F14" i="34" l="1"/>
  <c r="E117" i="26"/>
  <c r="E118" i="26" s="1"/>
  <c r="E126" i="26" s="1"/>
  <c r="E14" i="30"/>
  <c r="E15" i="30"/>
  <c r="E14" i="40"/>
  <c r="E15" i="40"/>
  <c r="E14" i="39"/>
  <c r="E15" i="39"/>
  <c r="E14" i="36"/>
  <c r="E15" i="36"/>
  <c r="E14" i="37"/>
  <c r="E15" i="37"/>
  <c r="E14" i="33"/>
  <c r="E15" i="33"/>
  <c r="E14" i="24"/>
  <c r="E15" i="24"/>
  <c r="E14" i="25"/>
  <c r="E15" i="25"/>
  <c r="E14" i="23"/>
  <c r="E15" i="23"/>
  <c r="E14" i="22"/>
  <c r="E15" i="22"/>
  <c r="D4" i="47" l="1"/>
  <c r="C5" i="22"/>
  <c r="G14" i="46" l="1"/>
  <c r="F14" i="46"/>
  <c r="C6" i="30"/>
  <c r="D6" i="30"/>
  <c r="E6" i="30"/>
  <c r="H6" i="30" s="1"/>
  <c r="C7" i="30"/>
  <c r="D7" i="30"/>
  <c r="C8" i="30"/>
  <c r="D8" i="30"/>
  <c r="E8" i="30"/>
  <c r="C9" i="30"/>
  <c r="H9" i="30"/>
  <c r="C10" i="30"/>
  <c r="D10" i="30"/>
  <c r="E10" i="30"/>
  <c r="C11" i="30"/>
  <c r="D11" i="30"/>
  <c r="E11" i="30"/>
  <c r="H11" i="30" s="1"/>
  <c r="C12" i="30"/>
  <c r="D12" i="30"/>
  <c r="E12" i="30"/>
  <c r="H12" i="30" s="1"/>
  <c r="C13" i="30"/>
  <c r="D13" i="30"/>
  <c r="E13" i="30"/>
  <c r="H13" i="30" s="1"/>
  <c r="C14" i="30"/>
  <c r="F14" i="30" s="1"/>
  <c r="D14" i="30"/>
  <c r="G14" i="30" s="1"/>
  <c r="C15" i="30"/>
  <c r="F15" i="30" s="1"/>
  <c r="D15" i="30"/>
  <c r="G15" i="30" s="1"/>
  <c r="D5" i="30"/>
  <c r="E5" i="30"/>
  <c r="H5" i="30" s="1"/>
  <c r="C5" i="30"/>
  <c r="F5" i="30" s="1"/>
  <c r="C6" i="40"/>
  <c r="D6" i="40"/>
  <c r="E6" i="40"/>
  <c r="H6" i="40" s="1"/>
  <c r="C7" i="40"/>
  <c r="D7" i="40"/>
  <c r="E7" i="40"/>
  <c r="C8" i="40"/>
  <c r="D8" i="40"/>
  <c r="E8" i="40"/>
  <c r="C9" i="40"/>
  <c r="E9" i="40" s="1"/>
  <c r="H9" i="40" s="1"/>
  <c r="C10" i="40"/>
  <c r="D10" i="40"/>
  <c r="E10" i="40"/>
  <c r="C11" i="40"/>
  <c r="D11" i="40"/>
  <c r="E11" i="40"/>
  <c r="H11" i="40" s="1"/>
  <c r="C12" i="40"/>
  <c r="D12" i="40"/>
  <c r="E12" i="40"/>
  <c r="H12" i="40" s="1"/>
  <c r="C13" i="40"/>
  <c r="D13" i="40"/>
  <c r="E13" i="40"/>
  <c r="H13" i="40" s="1"/>
  <c r="C14" i="40"/>
  <c r="D14" i="40"/>
  <c r="C15" i="40"/>
  <c r="F15" i="40" s="1"/>
  <c r="D15" i="40"/>
  <c r="D5" i="40"/>
  <c r="E5" i="40"/>
  <c r="H5" i="40" s="1"/>
  <c r="C5" i="40"/>
  <c r="C15" i="39"/>
  <c r="D15" i="39"/>
  <c r="C6" i="39"/>
  <c r="D6" i="39"/>
  <c r="E6" i="39"/>
  <c r="H6" i="39" s="1"/>
  <c r="C7" i="39"/>
  <c r="D7" i="39"/>
  <c r="E7" i="39"/>
  <c r="C8" i="39"/>
  <c r="D8" i="39"/>
  <c r="E8" i="39"/>
  <c r="C9" i="39"/>
  <c r="D9" i="39"/>
  <c r="E9" i="39"/>
  <c r="H9" i="39" s="1"/>
  <c r="C10" i="39"/>
  <c r="D10" i="39"/>
  <c r="E10" i="39"/>
  <c r="C11" i="39"/>
  <c r="D11" i="39"/>
  <c r="E11" i="39"/>
  <c r="H11" i="39" s="1"/>
  <c r="C12" i="39"/>
  <c r="D12" i="39"/>
  <c r="E12" i="39"/>
  <c r="H12" i="39" s="1"/>
  <c r="C13" i="39"/>
  <c r="D13" i="39"/>
  <c r="E13" i="39"/>
  <c r="H13" i="39" s="1"/>
  <c r="C14" i="39"/>
  <c r="D14" i="39"/>
  <c r="D5" i="39"/>
  <c r="E5" i="39"/>
  <c r="H5" i="39" s="1"/>
  <c r="C5" i="39"/>
  <c r="C6" i="38"/>
  <c r="D6" i="38"/>
  <c r="E6" i="38"/>
  <c r="H6" i="38" s="1"/>
  <c r="G6" i="38" s="1"/>
  <c r="C7" i="38"/>
  <c r="D7" i="38"/>
  <c r="E7" i="38"/>
  <c r="C8" i="38"/>
  <c r="D8" i="38"/>
  <c r="E8" i="38"/>
  <c r="C9" i="38"/>
  <c r="D9" i="38"/>
  <c r="E9" i="38"/>
  <c r="H9" i="38" s="1"/>
  <c r="C10" i="38"/>
  <c r="D10" i="38"/>
  <c r="E10" i="38"/>
  <c r="C11" i="38"/>
  <c r="D11" i="38"/>
  <c r="E11" i="38"/>
  <c r="H11" i="38" s="1"/>
  <c r="G11" i="38" s="1"/>
  <c r="C12" i="38"/>
  <c r="D12" i="38"/>
  <c r="G12" i="38" s="1"/>
  <c r="E12" i="38"/>
  <c r="H12" i="38" s="1"/>
  <c r="C13" i="38"/>
  <c r="D13" i="38"/>
  <c r="G13" i="38" s="1"/>
  <c r="E13" i="38"/>
  <c r="H13" i="38" s="1"/>
  <c r="C14" i="38"/>
  <c r="D14" i="38"/>
  <c r="E14" i="38"/>
  <c r="C15" i="38"/>
  <c r="D15" i="38"/>
  <c r="E15" i="38"/>
  <c r="D5" i="38"/>
  <c r="E5" i="38"/>
  <c r="H5" i="38" s="1"/>
  <c r="C5" i="38"/>
  <c r="C6" i="36"/>
  <c r="D6" i="36"/>
  <c r="G6" i="36" s="1"/>
  <c r="E6" i="36"/>
  <c r="H6" i="36" s="1"/>
  <c r="C7" i="36"/>
  <c r="D7" i="36"/>
  <c r="E7" i="36"/>
  <c r="C8" i="36"/>
  <c r="D8" i="36"/>
  <c r="E8" i="36"/>
  <c r="C9" i="36"/>
  <c r="D9" i="36"/>
  <c r="E9" i="36"/>
  <c r="H9" i="36" s="1"/>
  <c r="C10" i="36"/>
  <c r="D10" i="36"/>
  <c r="E10" i="36"/>
  <c r="C11" i="36"/>
  <c r="D11" i="36"/>
  <c r="E11" i="36"/>
  <c r="H11" i="36" s="1"/>
  <c r="F11" i="36" s="1"/>
  <c r="C12" i="36"/>
  <c r="D12" i="36"/>
  <c r="E12" i="36"/>
  <c r="H12" i="36" s="1"/>
  <c r="C13" i="36"/>
  <c r="D13" i="36"/>
  <c r="E13" i="36"/>
  <c r="H13" i="36" s="1"/>
  <c r="C14" i="36"/>
  <c r="D14" i="36"/>
  <c r="C15" i="36"/>
  <c r="D15" i="36"/>
  <c r="D5" i="36"/>
  <c r="E5" i="36"/>
  <c r="H5" i="36" s="1"/>
  <c r="C5" i="36"/>
  <c r="C6" i="37"/>
  <c r="D6" i="37"/>
  <c r="E6" i="37"/>
  <c r="H6" i="37" s="1"/>
  <c r="C7" i="37"/>
  <c r="D7" i="37"/>
  <c r="E7" i="37"/>
  <c r="C8" i="37"/>
  <c r="D8" i="37"/>
  <c r="E8" i="37"/>
  <c r="C9" i="37"/>
  <c r="D9" i="37"/>
  <c r="E9" i="37"/>
  <c r="H9" i="37" s="1"/>
  <c r="C10" i="37"/>
  <c r="D10" i="37"/>
  <c r="E10" i="37"/>
  <c r="C11" i="37"/>
  <c r="D11" i="37"/>
  <c r="E11" i="37"/>
  <c r="H11" i="37" s="1"/>
  <c r="C12" i="37"/>
  <c r="D12" i="37"/>
  <c r="E12" i="37"/>
  <c r="H12" i="37" s="1"/>
  <c r="C13" i="37"/>
  <c r="D13" i="37"/>
  <c r="E13" i="37"/>
  <c r="H13" i="37" s="1"/>
  <c r="F13" i="37" s="1"/>
  <c r="C14" i="37"/>
  <c r="D14" i="37"/>
  <c r="C15" i="37"/>
  <c r="D15" i="37"/>
  <c r="D5" i="37"/>
  <c r="G5" i="37" s="1"/>
  <c r="E5" i="37"/>
  <c r="H5" i="37" s="1"/>
  <c r="C5" i="37"/>
  <c r="C6" i="33"/>
  <c r="D6" i="33"/>
  <c r="E6" i="33"/>
  <c r="H6" i="33" s="1"/>
  <c r="C7" i="33"/>
  <c r="D7" i="33"/>
  <c r="E7" i="33"/>
  <c r="C8" i="33"/>
  <c r="D8" i="33"/>
  <c r="E8" i="33"/>
  <c r="C9" i="33"/>
  <c r="D9" i="33"/>
  <c r="E9" i="33"/>
  <c r="H9" i="33" s="1"/>
  <c r="C10" i="33"/>
  <c r="D10" i="33"/>
  <c r="E10" i="33"/>
  <c r="C11" i="33"/>
  <c r="D11" i="33"/>
  <c r="E11" i="33"/>
  <c r="C12" i="33"/>
  <c r="D12" i="33"/>
  <c r="E12" i="33"/>
  <c r="C13" i="33"/>
  <c r="D13" i="33"/>
  <c r="E13" i="33"/>
  <c r="C14" i="33"/>
  <c r="D14" i="33"/>
  <c r="C15" i="33"/>
  <c r="D15" i="33"/>
  <c r="D5" i="33"/>
  <c r="E5" i="33"/>
  <c r="H5" i="33" s="1"/>
  <c r="C5" i="33"/>
  <c r="H7" i="30"/>
  <c r="H10" i="39"/>
  <c r="H7" i="40"/>
  <c r="H8" i="38"/>
  <c r="H10" i="38"/>
  <c r="H8" i="40"/>
  <c r="H8" i="30"/>
  <c r="H7" i="39"/>
  <c r="H10" i="40"/>
  <c r="H8" i="39"/>
  <c r="H7" i="38"/>
  <c r="F13" i="39" l="1"/>
  <c r="G12" i="39"/>
  <c r="F6" i="40"/>
  <c r="H14" i="46"/>
  <c r="I14" i="46" s="1"/>
  <c r="H14" i="51"/>
  <c r="G5" i="30"/>
  <c r="G6" i="37"/>
  <c r="G5" i="40"/>
  <c r="F9" i="38"/>
  <c r="F12" i="30"/>
  <c r="F12" i="36"/>
  <c r="G12" i="40"/>
  <c r="G12" i="37"/>
  <c r="G11" i="37"/>
  <c r="F13" i="36"/>
  <c r="F5" i="38"/>
  <c r="F11" i="30"/>
  <c r="F9" i="30"/>
  <c r="G6" i="30"/>
  <c r="G9" i="37"/>
  <c r="F5" i="36"/>
  <c r="G11" i="39"/>
  <c r="F11" i="40"/>
  <c r="F9" i="40"/>
  <c r="G10" i="30"/>
  <c r="G11" i="30"/>
  <c r="G13" i="30"/>
  <c r="F13" i="30"/>
  <c r="G12" i="30"/>
  <c r="F6" i="30"/>
  <c r="F10" i="30"/>
  <c r="F8" i="30"/>
  <c r="G8" i="30"/>
  <c r="F7" i="30"/>
  <c r="G7" i="30"/>
  <c r="G14" i="40"/>
  <c r="J14" i="40" s="1"/>
  <c r="F14" i="40"/>
  <c r="I14" i="40" s="1"/>
  <c r="G13" i="40"/>
  <c r="G11" i="40"/>
  <c r="F5" i="40"/>
  <c r="F13" i="40"/>
  <c r="F12" i="40"/>
  <c r="G15" i="40"/>
  <c r="J15" i="40" s="1"/>
  <c r="G6" i="40"/>
  <c r="F10" i="40"/>
  <c r="G10" i="40"/>
  <c r="J10" i="40" s="1"/>
  <c r="F7" i="40"/>
  <c r="I7" i="40" s="1"/>
  <c r="G7" i="40"/>
  <c r="F8" i="40"/>
  <c r="I8" i="40" s="1"/>
  <c r="G8" i="40"/>
  <c r="F14" i="39"/>
  <c r="I14" i="39" s="1"/>
  <c r="G13" i="39"/>
  <c r="F15" i="39"/>
  <c r="I15" i="39" s="1"/>
  <c r="G15" i="39"/>
  <c r="J15" i="39" s="1"/>
  <c r="F5" i="39"/>
  <c r="F12" i="39"/>
  <c r="G5" i="39"/>
  <c r="G9" i="39"/>
  <c r="F6" i="39"/>
  <c r="G14" i="39"/>
  <c r="J14" i="39" s="1"/>
  <c r="F11" i="39"/>
  <c r="F9" i="39"/>
  <c r="G6" i="39"/>
  <c r="F7" i="39"/>
  <c r="I7" i="39" s="1"/>
  <c r="G7" i="39"/>
  <c r="G10" i="39"/>
  <c r="J10" i="39" s="1"/>
  <c r="F10" i="39"/>
  <c r="G8" i="39"/>
  <c r="F8" i="39"/>
  <c r="G14" i="38"/>
  <c r="J14" i="38" s="1"/>
  <c r="F14" i="38"/>
  <c r="F6" i="38"/>
  <c r="F15" i="38"/>
  <c r="G5" i="38"/>
  <c r="F13" i="38"/>
  <c r="F11" i="38"/>
  <c r="G15" i="38"/>
  <c r="J15" i="38" s="1"/>
  <c r="F12" i="38"/>
  <c r="G9" i="38"/>
  <c r="F8" i="38"/>
  <c r="G8" i="38"/>
  <c r="J8" i="38" s="1"/>
  <c r="G7" i="38"/>
  <c r="F7" i="38"/>
  <c r="I7" i="38" s="1"/>
  <c r="F10" i="38"/>
  <c r="G10" i="38"/>
  <c r="G14" i="36"/>
  <c r="G11" i="36"/>
  <c r="G13" i="36"/>
  <c r="F14" i="36"/>
  <c r="G5" i="36"/>
  <c r="G15" i="36"/>
  <c r="J15" i="36" s="1"/>
  <c r="G12" i="36"/>
  <c r="F9" i="36"/>
  <c r="F15" i="36"/>
  <c r="I15" i="36" s="1"/>
  <c r="G9" i="36"/>
  <c r="F6" i="36"/>
  <c r="F8" i="36"/>
  <c r="G8" i="36"/>
  <c r="F10" i="36"/>
  <c r="G10" i="36"/>
  <c r="G7" i="36"/>
  <c r="F7" i="36"/>
  <c r="G15" i="37"/>
  <c r="J15" i="37" s="1"/>
  <c r="F6" i="37"/>
  <c r="F12" i="37"/>
  <c r="G13" i="37"/>
  <c r="F15" i="37"/>
  <c r="I15" i="37" s="1"/>
  <c r="F14" i="37"/>
  <c r="I14" i="37" s="1"/>
  <c r="F5" i="37"/>
  <c r="G14" i="37"/>
  <c r="J14" i="37" s="1"/>
  <c r="F11" i="37"/>
  <c r="F9" i="37"/>
  <c r="F10" i="37"/>
  <c r="I10" i="37" s="1"/>
  <c r="G10" i="37"/>
  <c r="J10" i="37" s="1"/>
  <c r="F8" i="37"/>
  <c r="G8" i="37"/>
  <c r="G7" i="37"/>
  <c r="J7" i="37" s="1"/>
  <c r="F7" i="37"/>
  <c r="I7" i="37" s="1"/>
  <c r="F6" i="33"/>
  <c r="G6" i="33"/>
  <c r="F5" i="33"/>
  <c r="H13" i="33"/>
  <c r="F13" i="33" s="1"/>
  <c r="G5" i="33"/>
  <c r="H12" i="33"/>
  <c r="G12" i="33" s="1"/>
  <c r="H11" i="33"/>
  <c r="F11" i="33" s="1"/>
  <c r="G9" i="33"/>
  <c r="F14" i="33"/>
  <c r="I14" i="33" s="1"/>
  <c r="G14" i="33"/>
  <c r="J14" i="33" s="1"/>
  <c r="G15" i="33"/>
  <c r="J15" i="33" s="1"/>
  <c r="F9" i="33"/>
  <c r="F15" i="33"/>
  <c r="I15" i="33" s="1"/>
  <c r="J15" i="30"/>
  <c r="I15" i="30"/>
  <c r="J14" i="30"/>
  <c r="I14" i="30"/>
  <c r="I15" i="40"/>
  <c r="K6" i="30"/>
  <c r="K5" i="30"/>
  <c r="K9" i="30"/>
  <c r="K13" i="30"/>
  <c r="K12" i="30"/>
  <c r="K11" i="30"/>
  <c r="K11" i="40"/>
  <c r="K6" i="40"/>
  <c r="K5" i="40"/>
  <c r="K9" i="40"/>
  <c r="K13" i="40"/>
  <c r="K12" i="40"/>
  <c r="K11" i="39"/>
  <c r="K6" i="39"/>
  <c r="K5" i="39"/>
  <c r="K9" i="39"/>
  <c r="K13" i="39"/>
  <c r="K12" i="39"/>
  <c r="K11" i="38"/>
  <c r="K6" i="38"/>
  <c r="K5" i="38"/>
  <c r="K9" i="38"/>
  <c r="K13" i="38"/>
  <c r="K12" i="38"/>
  <c r="K11" i="36"/>
  <c r="K6" i="36"/>
  <c r="K5" i="36"/>
  <c r="K9" i="36"/>
  <c r="K13" i="36"/>
  <c r="K12" i="36"/>
  <c r="K11" i="37"/>
  <c r="K6" i="37"/>
  <c r="K5" i="37"/>
  <c r="K9" i="37"/>
  <c r="K13" i="37"/>
  <c r="K12" i="37"/>
  <c r="E14" i="26"/>
  <c r="J14" i="51" l="1"/>
  <c r="I14" i="51"/>
  <c r="J14" i="46"/>
  <c r="I14" i="38"/>
  <c r="I15" i="38"/>
  <c r="I10" i="40"/>
  <c r="J7" i="40"/>
  <c r="J8" i="40"/>
  <c r="I8" i="39"/>
  <c r="I10" i="39"/>
  <c r="J8" i="39"/>
  <c r="J7" i="39"/>
  <c r="I8" i="38"/>
  <c r="J10" i="38"/>
  <c r="I10" i="38"/>
  <c r="J7" i="38"/>
  <c r="J10" i="36"/>
  <c r="I8" i="36"/>
  <c r="I10" i="36"/>
  <c r="J8" i="36"/>
  <c r="J8" i="37"/>
  <c r="I8" i="37"/>
  <c r="G11" i="33"/>
  <c r="G13" i="33"/>
  <c r="F12" i="33"/>
  <c r="I8" i="30"/>
  <c r="J10" i="30"/>
  <c r="J8" i="30"/>
  <c r="I7" i="30"/>
  <c r="J7" i="30"/>
  <c r="I10" i="30"/>
  <c r="I9" i="39"/>
  <c r="J11" i="38"/>
  <c r="J9" i="39"/>
  <c r="J11" i="39"/>
  <c r="J12" i="40"/>
  <c r="I11" i="39"/>
  <c r="I9" i="30"/>
  <c r="J12" i="37"/>
  <c r="J11" i="36"/>
  <c r="I9" i="40"/>
  <c r="J11" i="30"/>
  <c r="J12" i="38"/>
  <c r="I11" i="37"/>
  <c r="J11" i="37"/>
  <c r="I11" i="38"/>
  <c r="I9" i="38"/>
  <c r="J12" i="39"/>
  <c r="J11" i="40"/>
  <c r="J12" i="30"/>
  <c r="I11" i="40"/>
  <c r="J13" i="37"/>
  <c r="I5" i="30"/>
  <c r="I11" i="30"/>
  <c r="J9" i="38"/>
  <c r="J13" i="38"/>
  <c r="I13" i="38"/>
  <c r="J13" i="30"/>
  <c r="I12" i="30"/>
  <c r="I13" i="30"/>
  <c r="I6" i="30"/>
  <c r="J5" i="30"/>
  <c r="J6" i="30"/>
  <c r="I5" i="40"/>
  <c r="I6" i="40"/>
  <c r="J5" i="40"/>
  <c r="J6" i="40"/>
  <c r="J13" i="40"/>
  <c r="I12" i="40"/>
  <c r="I13" i="40"/>
  <c r="I5" i="39"/>
  <c r="I6" i="39"/>
  <c r="J5" i="39"/>
  <c r="J6" i="39"/>
  <c r="J13" i="39"/>
  <c r="I12" i="39"/>
  <c r="I13" i="39"/>
  <c r="I12" i="38"/>
  <c r="I5" i="38"/>
  <c r="I6" i="38"/>
  <c r="J5" i="38"/>
  <c r="J6" i="38"/>
  <c r="I6" i="36"/>
  <c r="I11" i="36"/>
  <c r="J5" i="36"/>
  <c r="J6" i="36"/>
  <c r="I5" i="36"/>
  <c r="J12" i="36"/>
  <c r="J9" i="36"/>
  <c r="I9" i="36"/>
  <c r="J13" i="36"/>
  <c r="I12" i="36"/>
  <c r="I13" i="36"/>
  <c r="I13" i="37"/>
  <c r="J9" i="37"/>
  <c r="I9" i="37"/>
  <c r="I12" i="37"/>
  <c r="I5" i="37"/>
  <c r="I6" i="37"/>
  <c r="J5" i="37"/>
  <c r="J6" i="37"/>
  <c r="J8" i="46" l="1"/>
  <c r="I8" i="46"/>
  <c r="K12" i="33"/>
  <c r="K6" i="33"/>
  <c r="H10" i="25"/>
  <c r="H7" i="23"/>
  <c r="H7" i="24"/>
  <c r="H8" i="24"/>
  <c r="H10" i="23"/>
  <c r="H10" i="33"/>
  <c r="H8" i="33"/>
  <c r="H7" i="33"/>
  <c r="H10" i="24"/>
  <c r="H8" i="23"/>
  <c r="F7" i="34" l="1"/>
  <c r="G10" i="33"/>
  <c r="F10" i="33"/>
  <c r="F7" i="33"/>
  <c r="G7" i="33"/>
  <c r="G8" i="33"/>
  <c r="F8" i="33"/>
  <c r="K11" i="33"/>
  <c r="J6" i="33"/>
  <c r="K13" i="33"/>
  <c r="I6" i="33"/>
  <c r="K9" i="33"/>
  <c r="K5" i="33"/>
  <c r="I12" i="33"/>
  <c r="J12" i="33"/>
  <c r="C6" i="34"/>
  <c r="D6" i="34"/>
  <c r="D7" i="34"/>
  <c r="C8" i="34"/>
  <c r="D8" i="34"/>
  <c r="C9" i="34"/>
  <c r="D9" i="34"/>
  <c r="C10" i="34"/>
  <c r="D10" i="34"/>
  <c r="C11" i="34"/>
  <c r="D11" i="34"/>
  <c r="C12" i="34"/>
  <c r="D12" i="34"/>
  <c r="C13" i="34"/>
  <c r="D13" i="34"/>
  <c r="C14" i="34"/>
  <c r="D14" i="34"/>
  <c r="C15" i="34"/>
  <c r="D15" i="34"/>
  <c r="D5" i="34"/>
  <c r="C5" i="34"/>
  <c r="K12" i="34"/>
  <c r="K6" i="34"/>
  <c r="C6" i="25"/>
  <c r="D6" i="25"/>
  <c r="E6" i="25"/>
  <c r="C7" i="25"/>
  <c r="D7" i="25"/>
  <c r="E7" i="25"/>
  <c r="C8" i="25"/>
  <c r="D8" i="25"/>
  <c r="E8" i="25"/>
  <c r="C9" i="25"/>
  <c r="D9" i="25"/>
  <c r="E9" i="25"/>
  <c r="H9" i="25" s="1"/>
  <c r="F9" i="25" s="1"/>
  <c r="C10" i="25"/>
  <c r="D10" i="25"/>
  <c r="E10" i="25"/>
  <c r="C11" i="25"/>
  <c r="D11" i="25"/>
  <c r="E11" i="25"/>
  <c r="C12" i="25"/>
  <c r="D12" i="25"/>
  <c r="E12" i="25"/>
  <c r="C13" i="25"/>
  <c r="D13" i="25"/>
  <c r="E13" i="25"/>
  <c r="H13" i="25" s="1"/>
  <c r="C14" i="25"/>
  <c r="D14" i="25"/>
  <c r="C15" i="25"/>
  <c r="D15" i="25"/>
  <c r="D5" i="25"/>
  <c r="E5" i="25"/>
  <c r="H5" i="25" s="1"/>
  <c r="G5" i="25" s="1"/>
  <c r="C5" i="25"/>
  <c r="D15" i="26"/>
  <c r="D11" i="26"/>
  <c r="D13" i="26"/>
  <c r="D14" i="26"/>
  <c r="C5" i="26"/>
  <c r="C14" i="26"/>
  <c r="D5" i="26"/>
  <c r="C12" i="26"/>
  <c r="D10" i="26"/>
  <c r="C11" i="26"/>
  <c r="C9" i="26"/>
  <c r="C6" i="26"/>
  <c r="C8" i="26"/>
  <c r="D6" i="26"/>
  <c r="D7" i="26"/>
  <c r="C13" i="26"/>
  <c r="D8" i="26"/>
  <c r="D9" i="26"/>
  <c r="D12" i="26"/>
  <c r="C15" i="26"/>
  <c r="C10" i="26"/>
  <c r="C91" i="26" l="1"/>
  <c r="G10" i="25"/>
  <c r="F10" i="25"/>
  <c r="D81" i="26"/>
  <c r="D93" i="26" s="1"/>
  <c r="D91" i="26"/>
  <c r="C93" i="26"/>
  <c r="G11" i="34"/>
  <c r="J11" i="34" s="1"/>
  <c r="F15" i="34"/>
  <c r="I15" i="34" s="1"/>
  <c r="F13" i="34"/>
  <c r="F11" i="34"/>
  <c r="I11" i="34" s="1"/>
  <c r="F9" i="34"/>
  <c r="G6" i="34"/>
  <c r="G13" i="34"/>
  <c r="G7" i="34"/>
  <c r="J7" i="34" s="1"/>
  <c r="G12" i="34"/>
  <c r="G10" i="34"/>
  <c r="F6" i="34"/>
  <c r="G9" i="34"/>
  <c r="G5" i="34"/>
  <c r="F12" i="34"/>
  <c r="I12" i="34" s="1"/>
  <c r="F10" i="34"/>
  <c r="G15" i="34"/>
  <c r="J15" i="34" s="1"/>
  <c r="G14" i="34"/>
  <c r="J14" i="34" s="1"/>
  <c r="I14" i="34"/>
  <c r="J7" i="33"/>
  <c r="F13" i="25"/>
  <c r="H12" i="25"/>
  <c r="F12" i="25" s="1"/>
  <c r="F5" i="25"/>
  <c r="G13" i="25"/>
  <c r="G9" i="25"/>
  <c r="H6" i="25"/>
  <c r="F6" i="25" s="1"/>
  <c r="H11" i="25"/>
  <c r="F11" i="25" s="1"/>
  <c r="G6" i="25"/>
  <c r="I8" i="33"/>
  <c r="J8" i="33"/>
  <c r="I10" i="33"/>
  <c r="J10" i="33"/>
  <c r="I7" i="33"/>
  <c r="I11" i="33"/>
  <c r="J11" i="33"/>
  <c r="J12" i="34"/>
  <c r="J6" i="34"/>
  <c r="K9" i="25"/>
  <c r="K5" i="34"/>
  <c r="K9" i="34"/>
  <c r="K13" i="34"/>
  <c r="K5" i="25"/>
  <c r="I6" i="34"/>
  <c r="I13" i="33"/>
  <c r="K13" i="25"/>
  <c r="J5" i="33"/>
  <c r="J13" i="33"/>
  <c r="I5" i="33"/>
  <c r="J9" i="33"/>
  <c r="I9" i="33"/>
  <c r="F13" i="26"/>
  <c r="F9" i="26"/>
  <c r="F12" i="26"/>
  <c r="F5" i="26"/>
  <c r="F6" i="26"/>
  <c r="F11" i="26"/>
  <c r="D92" i="26" l="1"/>
  <c r="D112" i="26" s="1"/>
  <c r="C92" i="26"/>
  <c r="C112" i="26" s="1"/>
  <c r="F91" i="26"/>
  <c r="F92" i="26" s="1"/>
  <c r="F112" i="26" s="1"/>
  <c r="G12" i="25"/>
  <c r="K12" i="25"/>
  <c r="I12" i="25" s="1"/>
  <c r="C117" i="26"/>
  <c r="C118" i="26" s="1"/>
  <c r="C126" i="26" s="1"/>
  <c r="K6" i="25"/>
  <c r="I6" i="25" s="1"/>
  <c r="G11" i="25"/>
  <c r="D117" i="26"/>
  <c r="D118" i="26" s="1"/>
  <c r="D126" i="26" s="1"/>
  <c r="K11" i="25"/>
  <c r="I11" i="25" s="1"/>
  <c r="I8" i="34"/>
  <c r="J10" i="34"/>
  <c r="I10" i="34"/>
  <c r="J8" i="34"/>
  <c r="I7" i="34"/>
  <c r="I10" i="25"/>
  <c r="J10" i="25"/>
  <c r="J13" i="34"/>
  <c r="I5" i="25"/>
  <c r="I9" i="25"/>
  <c r="J9" i="34"/>
  <c r="J5" i="34"/>
  <c r="I13" i="34"/>
  <c r="I5" i="34"/>
  <c r="I13" i="25"/>
  <c r="J9" i="25"/>
  <c r="I9" i="34"/>
  <c r="J5" i="25"/>
  <c r="J13" i="25"/>
  <c r="N139" i="26"/>
  <c r="C6" i="28"/>
  <c r="D6" i="28"/>
  <c r="E6" i="28"/>
  <c r="C7" i="28"/>
  <c r="D7" i="28"/>
  <c r="E7" i="28"/>
  <c r="C8" i="28"/>
  <c r="D8" i="28"/>
  <c r="E8" i="28"/>
  <c r="C9" i="28"/>
  <c r="D9" i="28"/>
  <c r="E9" i="28"/>
  <c r="C10" i="28"/>
  <c r="D10" i="28"/>
  <c r="E10" i="28"/>
  <c r="C11" i="28"/>
  <c r="D11" i="28"/>
  <c r="E11" i="28"/>
  <c r="C12" i="28"/>
  <c r="F12" i="28" s="1"/>
  <c r="D12" i="28"/>
  <c r="E12" i="28"/>
  <c r="C13" i="28"/>
  <c r="D13" i="28"/>
  <c r="E13" i="28"/>
  <c r="C14" i="28"/>
  <c r="D14" i="28"/>
  <c r="E14" i="28"/>
  <c r="C15" i="28"/>
  <c r="D15" i="28"/>
  <c r="E15" i="28"/>
  <c r="D5" i="28"/>
  <c r="E5" i="28"/>
  <c r="C5" i="28"/>
  <c r="C6" i="27"/>
  <c r="D6" i="27"/>
  <c r="E6" i="27"/>
  <c r="C7" i="27"/>
  <c r="D7" i="27"/>
  <c r="E7" i="27"/>
  <c r="C8" i="27"/>
  <c r="D8" i="27"/>
  <c r="E8" i="27"/>
  <c r="C9" i="27"/>
  <c r="D9" i="27"/>
  <c r="E9" i="27"/>
  <c r="C10" i="27"/>
  <c r="D10" i="27"/>
  <c r="E10" i="27"/>
  <c r="C11" i="27"/>
  <c r="D11" i="27"/>
  <c r="E11" i="27"/>
  <c r="C12" i="27"/>
  <c r="D12" i="27"/>
  <c r="E12" i="27"/>
  <c r="C13" i="27"/>
  <c r="D13" i="27"/>
  <c r="E13" i="27"/>
  <c r="C14" i="27"/>
  <c r="D14" i="27"/>
  <c r="E14" i="27"/>
  <c r="C15" i="27"/>
  <c r="D15" i="27"/>
  <c r="E15" i="27"/>
  <c r="D5" i="27"/>
  <c r="E5" i="27"/>
  <c r="C5" i="27"/>
  <c r="C6" i="24"/>
  <c r="D6" i="24"/>
  <c r="E6" i="24"/>
  <c r="C7" i="24"/>
  <c r="F7" i="24" s="1"/>
  <c r="D7" i="24"/>
  <c r="E7" i="24"/>
  <c r="C8" i="24"/>
  <c r="D8" i="24"/>
  <c r="E8" i="24"/>
  <c r="C9" i="24"/>
  <c r="D9" i="24"/>
  <c r="E9" i="24"/>
  <c r="H9" i="24" s="1"/>
  <c r="F9" i="24" s="1"/>
  <c r="C10" i="24"/>
  <c r="D10" i="24"/>
  <c r="E10" i="24"/>
  <c r="C11" i="24"/>
  <c r="D11" i="24"/>
  <c r="E11" i="24"/>
  <c r="C12" i="24"/>
  <c r="D12" i="24"/>
  <c r="E12" i="24"/>
  <c r="C13" i="24"/>
  <c r="D13" i="24"/>
  <c r="E13" i="24"/>
  <c r="H13" i="24" s="1"/>
  <c r="G13" i="24" s="1"/>
  <c r="C14" i="24"/>
  <c r="D14" i="24"/>
  <c r="C15" i="24"/>
  <c r="D15" i="24"/>
  <c r="D5" i="24"/>
  <c r="E5" i="24"/>
  <c r="H5" i="24" s="1"/>
  <c r="C5" i="24"/>
  <c r="C6" i="23"/>
  <c r="D6" i="23"/>
  <c r="E6" i="23"/>
  <c r="C7" i="23"/>
  <c r="D7" i="23"/>
  <c r="E7" i="23"/>
  <c r="C8" i="23"/>
  <c r="D8" i="23"/>
  <c r="E8" i="23"/>
  <c r="C9" i="23"/>
  <c r="D9" i="23"/>
  <c r="E9" i="23"/>
  <c r="H9" i="23" s="1"/>
  <c r="C10" i="23"/>
  <c r="D10" i="23"/>
  <c r="E10" i="23"/>
  <c r="C11" i="23"/>
  <c r="D11" i="23"/>
  <c r="E11" i="23"/>
  <c r="C12" i="23"/>
  <c r="D12" i="23"/>
  <c r="E12" i="23"/>
  <c r="C13" i="23"/>
  <c r="D13" i="23"/>
  <c r="E13" i="23"/>
  <c r="H13" i="23" s="1"/>
  <c r="C14" i="23"/>
  <c r="D14" i="23"/>
  <c r="C15" i="23"/>
  <c r="D15" i="23"/>
  <c r="D5" i="23"/>
  <c r="E5" i="23"/>
  <c r="H5" i="23" s="1"/>
  <c r="C5" i="23"/>
  <c r="D5" i="22"/>
  <c r="E5" i="22"/>
  <c r="D6" i="22"/>
  <c r="E6" i="22"/>
  <c r="D7" i="22"/>
  <c r="E7" i="22"/>
  <c r="D8" i="22"/>
  <c r="E8" i="22"/>
  <c r="D9" i="22"/>
  <c r="E9" i="22"/>
  <c r="D10" i="22"/>
  <c r="E10" i="22"/>
  <c r="D11" i="22"/>
  <c r="E11" i="22"/>
  <c r="D12" i="22"/>
  <c r="E12" i="22"/>
  <c r="D13" i="22"/>
  <c r="E13" i="22"/>
  <c r="D14" i="22"/>
  <c r="G14" i="22" s="1"/>
  <c r="D15" i="22"/>
  <c r="G15" i="22" s="1"/>
  <c r="C15" i="22"/>
  <c r="F15" i="22" s="1"/>
  <c r="C6" i="22"/>
  <c r="C7" i="22"/>
  <c r="C8" i="22"/>
  <c r="C9" i="22"/>
  <c r="C10" i="22"/>
  <c r="C11" i="22"/>
  <c r="C12" i="22"/>
  <c r="C13" i="22"/>
  <c r="C14" i="22"/>
  <c r="F14" i="22" s="1"/>
  <c r="D27" i="26"/>
  <c r="C24" i="26"/>
  <c r="D22" i="26"/>
  <c r="C23" i="26"/>
  <c r="E25" i="26"/>
  <c r="E27" i="26"/>
  <c r="D25" i="26"/>
  <c r="C26" i="26"/>
  <c r="E22" i="26"/>
  <c r="E31" i="26"/>
  <c r="C30" i="26"/>
  <c r="E24" i="26"/>
  <c r="C27" i="26"/>
  <c r="D30" i="26"/>
  <c r="C28" i="26"/>
  <c r="D28" i="26"/>
  <c r="F5" i="24" l="1"/>
  <c r="G10" i="24"/>
  <c r="F10" i="24"/>
  <c r="G8" i="24"/>
  <c r="F9" i="28"/>
  <c r="F10" i="23"/>
  <c r="I10" i="23" s="1"/>
  <c r="C113" i="26"/>
  <c r="G13" i="23"/>
  <c r="G9" i="23"/>
  <c r="F8" i="24"/>
  <c r="G15" i="28"/>
  <c r="J15" i="28" s="1"/>
  <c r="J12" i="25"/>
  <c r="F13" i="24"/>
  <c r="F15" i="28"/>
  <c r="I15" i="28" s="1"/>
  <c r="F11" i="28"/>
  <c r="J6" i="25"/>
  <c r="G5" i="23"/>
  <c r="F13" i="23"/>
  <c r="G10" i="23"/>
  <c r="J10" i="23" s="1"/>
  <c r="G5" i="24"/>
  <c r="G7" i="24"/>
  <c r="J7" i="24" s="1"/>
  <c r="G9" i="28"/>
  <c r="D113" i="26"/>
  <c r="D114" i="26" s="1"/>
  <c r="D115" i="26" s="1"/>
  <c r="D125" i="26" s="1"/>
  <c r="E113" i="26"/>
  <c r="E114" i="26" s="1"/>
  <c r="E115" i="26" s="1"/>
  <c r="E125" i="26" s="1"/>
  <c r="G5" i="28"/>
  <c r="F13" i="28"/>
  <c r="I13" i="28" s="1"/>
  <c r="G13" i="28"/>
  <c r="G12" i="28"/>
  <c r="J12" i="28" s="1"/>
  <c r="G14" i="28"/>
  <c r="J14" i="28" s="1"/>
  <c r="G6" i="28"/>
  <c r="J6" i="28" s="1"/>
  <c r="F5" i="28"/>
  <c r="F14" i="28"/>
  <c r="I14" i="28" s="1"/>
  <c r="G11" i="28"/>
  <c r="J11" i="28" s="1"/>
  <c r="F6" i="28"/>
  <c r="F15" i="27"/>
  <c r="F12" i="27"/>
  <c r="G9" i="27"/>
  <c r="J9" i="27" s="1"/>
  <c r="G14" i="27"/>
  <c r="G6" i="27"/>
  <c r="J6" i="27" s="1"/>
  <c r="G12" i="27"/>
  <c r="J12" i="27" s="1"/>
  <c r="F9" i="27"/>
  <c r="F5" i="27"/>
  <c r="I5" i="27" s="1"/>
  <c r="F14" i="27"/>
  <c r="G11" i="27"/>
  <c r="J11" i="27" s="1"/>
  <c r="F6" i="27"/>
  <c r="G5" i="27"/>
  <c r="G13" i="27"/>
  <c r="J13" i="27" s="1"/>
  <c r="F11" i="27"/>
  <c r="F13" i="27"/>
  <c r="G15" i="27"/>
  <c r="F15" i="24"/>
  <c r="I15" i="24" s="1"/>
  <c r="H12" i="24"/>
  <c r="F12" i="24" s="1"/>
  <c r="G9" i="24"/>
  <c r="G14" i="24"/>
  <c r="J14" i="24" s="1"/>
  <c r="H11" i="24"/>
  <c r="F11" i="24" s="1"/>
  <c r="G15" i="24"/>
  <c r="J15" i="24" s="1"/>
  <c r="H6" i="24"/>
  <c r="G6" i="24" s="1"/>
  <c r="F14" i="24"/>
  <c r="I14" i="24" s="1"/>
  <c r="J11" i="25"/>
  <c r="G14" i="23"/>
  <c r="J14" i="23" s="1"/>
  <c r="H11" i="23"/>
  <c r="K11" i="23" s="1"/>
  <c r="F9" i="23"/>
  <c r="H12" i="23"/>
  <c r="G12" i="23" s="1"/>
  <c r="F14" i="23"/>
  <c r="G8" i="23"/>
  <c r="J8" i="23" s="1"/>
  <c r="F5" i="23"/>
  <c r="F8" i="23"/>
  <c r="G7" i="23"/>
  <c r="J7" i="23" s="1"/>
  <c r="G15" i="23"/>
  <c r="J15" i="23" s="1"/>
  <c r="F7" i="23"/>
  <c r="F15" i="23"/>
  <c r="H6" i="23"/>
  <c r="F6" i="23" s="1"/>
  <c r="F11" i="22"/>
  <c r="F6" i="22"/>
  <c r="H13" i="22"/>
  <c r="G13" i="22" s="1"/>
  <c r="H5" i="22"/>
  <c r="F5" i="22" s="1"/>
  <c r="J14" i="22"/>
  <c r="J15" i="22"/>
  <c r="I14" i="22"/>
  <c r="I15" i="22"/>
  <c r="H9" i="22"/>
  <c r="G9" i="22" s="1"/>
  <c r="H6" i="22"/>
  <c r="G6" i="22" s="1"/>
  <c r="H12" i="22"/>
  <c r="K12" i="22" s="1"/>
  <c r="H11" i="22"/>
  <c r="G11" i="22" s="1"/>
  <c r="I11" i="27"/>
  <c r="J139" i="26"/>
  <c r="M139" i="26"/>
  <c r="I139" i="26"/>
  <c r="L139" i="26"/>
  <c r="K139" i="26"/>
  <c r="J5" i="27"/>
  <c r="I6" i="28"/>
  <c r="I9" i="28"/>
  <c r="I12" i="27"/>
  <c r="K13" i="23"/>
  <c r="K9" i="23"/>
  <c r="J5" i="28"/>
  <c r="I12" i="28"/>
  <c r="K5" i="24"/>
  <c r="K5" i="23"/>
  <c r="K5" i="22"/>
  <c r="K13" i="24"/>
  <c r="K9" i="24"/>
  <c r="J13" i="28"/>
  <c r="J9" i="28"/>
  <c r="I11" i="28"/>
  <c r="I5" i="28"/>
  <c r="C8" i="21"/>
  <c r="C7" i="21"/>
  <c r="C7" i="20"/>
  <c r="C8" i="20"/>
  <c r="D29" i="26"/>
  <c r="C31" i="26"/>
  <c r="E26" i="26"/>
  <c r="C25" i="26"/>
  <c r="F22" i="26"/>
  <c r="E23" i="26"/>
  <c r="D23" i="26"/>
  <c r="F28" i="26"/>
  <c r="C22" i="26"/>
  <c r="D24" i="26"/>
  <c r="E30" i="26"/>
  <c r="F30" i="26"/>
  <c r="E29" i="26"/>
  <c r="F26" i="26"/>
  <c r="D26" i="26"/>
  <c r="D31" i="26"/>
  <c r="C29" i="26"/>
  <c r="E28" i="26"/>
  <c r="C114" i="26" l="1"/>
  <c r="F13" i="22"/>
  <c r="F11" i="23"/>
  <c r="I11" i="23" s="1"/>
  <c r="K13" i="22"/>
  <c r="G6" i="23"/>
  <c r="F9" i="22"/>
  <c r="I13" i="27"/>
  <c r="I6" i="27"/>
  <c r="F6" i="24"/>
  <c r="G5" i="22"/>
  <c r="J5" i="22" s="1"/>
  <c r="I9" i="27"/>
  <c r="I8" i="23"/>
  <c r="I14" i="23"/>
  <c r="I7" i="23"/>
  <c r="I15" i="23"/>
  <c r="K6" i="24"/>
  <c r="G12" i="24"/>
  <c r="K12" i="24"/>
  <c r="I12" i="24" s="1"/>
  <c r="G11" i="24"/>
  <c r="K11" i="24"/>
  <c r="I11" i="24" s="1"/>
  <c r="J5" i="24"/>
  <c r="K12" i="23"/>
  <c r="J12" i="23" s="1"/>
  <c r="K6" i="23"/>
  <c r="I6" i="23" s="1"/>
  <c r="G11" i="23"/>
  <c r="J11" i="23" s="1"/>
  <c r="F12" i="23"/>
  <c r="K11" i="22"/>
  <c r="J11" i="22" s="1"/>
  <c r="G12" i="22"/>
  <c r="J12" i="22" s="1"/>
  <c r="F12" i="22"/>
  <c r="I12" i="22" s="1"/>
  <c r="K9" i="22"/>
  <c r="J9" i="22" s="1"/>
  <c r="K6" i="22"/>
  <c r="I6" i="22" s="1"/>
  <c r="I14" i="27"/>
  <c r="J15" i="27"/>
  <c r="J14" i="27"/>
  <c r="I15" i="27"/>
  <c r="I10" i="24"/>
  <c r="J8" i="24"/>
  <c r="I8" i="24"/>
  <c r="J10" i="24"/>
  <c r="I7" i="24"/>
  <c r="J9" i="23"/>
  <c r="I5" i="22"/>
  <c r="J13" i="23"/>
  <c r="I13" i="22"/>
  <c r="J5" i="23"/>
  <c r="I9" i="23"/>
  <c r="I13" i="24"/>
  <c r="I9" i="24"/>
  <c r="I5" i="23"/>
  <c r="J9" i="24"/>
  <c r="I13" i="23"/>
  <c r="I5" i="24"/>
  <c r="J13" i="24"/>
  <c r="J13" i="22"/>
  <c r="E8" i="21"/>
  <c r="D8" i="21"/>
  <c r="F8" i="21"/>
  <c r="F8" i="20"/>
  <c r="E8" i="20"/>
  <c r="D8" i="20"/>
  <c r="K60" i="8"/>
  <c r="G60" i="8" s="1"/>
  <c r="K31" i="12"/>
  <c r="F31" i="12" s="1"/>
  <c r="K53" i="16"/>
  <c r="F53" i="16" s="1"/>
  <c r="K54" i="17"/>
  <c r="K47" i="15"/>
  <c r="F47" i="15" s="1"/>
  <c r="K48" i="14"/>
  <c r="F29" i="26"/>
  <c r="K10" i="28"/>
  <c r="F31" i="26"/>
  <c r="F23" i="26"/>
  <c r="K10" i="27"/>
  <c r="I12" i="23" l="1"/>
  <c r="G48" i="14"/>
  <c r="F48" i="14"/>
  <c r="G54" i="17"/>
  <c r="F54" i="17"/>
  <c r="C115" i="26"/>
  <c r="C125" i="26" s="1"/>
  <c r="J11" i="24"/>
  <c r="I9" i="22"/>
  <c r="J12" i="24"/>
  <c r="J6" i="24"/>
  <c r="I6" i="24"/>
  <c r="J6" i="23"/>
  <c r="I11" i="22"/>
  <c r="J6" i="22"/>
  <c r="G53" i="16"/>
  <c r="G31" i="12"/>
  <c r="G47" i="15"/>
  <c r="F60" i="8"/>
  <c r="C5" i="21" l="1"/>
  <c r="C5" i="20"/>
  <c r="J30" i="20" l="1"/>
  <c r="D30" i="20" s="1"/>
  <c r="J23" i="20"/>
  <c r="D23" i="20" s="1"/>
  <c r="K37" i="21"/>
  <c r="G37" i="21" s="1"/>
  <c r="K30" i="21"/>
  <c r="G30" i="21" s="1"/>
  <c r="K25" i="21"/>
  <c r="G25" i="21" s="1"/>
  <c r="C25" i="21"/>
  <c r="K23" i="21"/>
  <c r="G23" i="21" s="1"/>
  <c r="C25" i="20"/>
  <c r="J25" i="20" s="1"/>
  <c r="K25" i="20"/>
  <c r="F25" i="20" s="1"/>
  <c r="K23" i="20"/>
  <c r="F23" i="20" s="1"/>
  <c r="K30" i="20"/>
  <c r="G30" i="20" s="1"/>
  <c r="K37" i="20"/>
  <c r="G37" i="20" s="1"/>
  <c r="G25" i="20" l="1"/>
  <c r="F30" i="21"/>
  <c r="F23" i="21"/>
  <c r="G23" i="20"/>
  <c r="J25" i="21"/>
  <c r="D25" i="21" s="1"/>
  <c r="J23" i="21"/>
  <c r="D23" i="21" s="1"/>
  <c r="F25" i="21"/>
  <c r="J30" i="21"/>
  <c r="D30" i="21" s="1"/>
  <c r="F30" i="20"/>
  <c r="C8" i="11"/>
  <c r="C6" i="15"/>
  <c r="C7" i="14"/>
  <c r="C74" i="14" s="1"/>
  <c r="C6" i="14"/>
  <c r="C73" i="14" s="1"/>
  <c r="C8" i="13"/>
  <c r="C7" i="13"/>
  <c r="C6" i="13"/>
  <c r="C5" i="13"/>
  <c r="C4" i="13"/>
  <c r="C8" i="12"/>
  <c r="C7" i="12"/>
  <c r="C6" i="12"/>
  <c r="C5" i="12"/>
  <c r="C4" i="12"/>
  <c r="C7" i="11"/>
  <c r="C6" i="11"/>
  <c r="C5" i="11"/>
  <c r="C86" i="11" s="1"/>
  <c r="C4" i="11"/>
  <c r="C85" i="11" s="1"/>
  <c r="H85" i="11" s="1"/>
  <c r="F85" i="11" s="1"/>
  <c r="C8" i="8"/>
  <c r="C7" i="8"/>
  <c r="C6" i="8"/>
  <c r="C5" i="8"/>
  <c r="C110" i="8" s="1"/>
  <c r="C4" i="16"/>
  <c r="C8" i="16"/>
  <c r="C7" i="16"/>
  <c r="C55" i="16"/>
  <c r="C8" i="17"/>
  <c r="C72" i="17" s="1"/>
  <c r="C7" i="17"/>
  <c r="C71" i="17" s="1"/>
  <c r="C6" i="17"/>
  <c r="C70" i="17" s="1"/>
  <c r="C8" i="6"/>
  <c r="C7" i="6"/>
  <c r="D7" i="6" s="1"/>
  <c r="C6" i="6"/>
  <c r="D6" i="6" s="1"/>
  <c r="C8" i="5"/>
  <c r="C7" i="5"/>
  <c r="C6" i="5"/>
  <c r="C42" i="5" s="1"/>
  <c r="J42" i="5" s="1"/>
  <c r="C5" i="5"/>
  <c r="C41" i="5" s="1"/>
  <c r="J41" i="5" s="1"/>
  <c r="C7" i="1"/>
  <c r="C6" i="1"/>
  <c r="C5" i="1"/>
  <c r="C4" i="1"/>
  <c r="C5" i="15"/>
  <c r="C4" i="15"/>
  <c r="C5" i="14"/>
  <c r="C72" i="14" s="1"/>
  <c r="C4" i="14"/>
  <c r="C71" i="14" s="1"/>
  <c r="C5" i="17"/>
  <c r="C4" i="17"/>
  <c r="C5" i="6"/>
  <c r="D5" i="6" s="1"/>
  <c r="E5" i="6" s="1"/>
  <c r="C4" i="6"/>
  <c r="H15" i="25"/>
  <c r="C33" i="12" l="1"/>
  <c r="C40" i="12"/>
  <c r="C32" i="12"/>
  <c r="C39" i="12"/>
  <c r="C35" i="12"/>
  <c r="C42" i="12"/>
  <c r="C24" i="12"/>
  <c r="C38" i="12"/>
  <c r="C34" i="12"/>
  <c r="C41" i="12"/>
  <c r="C95" i="11"/>
  <c r="C87" i="11"/>
  <c r="C96" i="11"/>
  <c r="C88" i="11"/>
  <c r="C97" i="11"/>
  <c r="C89" i="11"/>
  <c r="C29" i="11"/>
  <c r="C64" i="11"/>
  <c r="G64" i="11" s="1"/>
  <c r="E64" i="11" s="1"/>
  <c r="C71" i="11"/>
  <c r="G71" i="11" s="1"/>
  <c r="E71" i="11" s="1"/>
  <c r="C50" i="11"/>
  <c r="C57" i="11"/>
  <c r="J57" i="11" s="1"/>
  <c r="C36" i="11"/>
  <c r="C78" i="11"/>
  <c r="C93" i="11"/>
  <c r="C43" i="11"/>
  <c r="C37" i="11"/>
  <c r="C30" i="11"/>
  <c r="C44" i="11"/>
  <c r="C94" i="11"/>
  <c r="C51" i="11"/>
  <c r="C105" i="8"/>
  <c r="H105" i="8" s="1"/>
  <c r="C112" i="8"/>
  <c r="H112" i="8" s="1"/>
  <c r="C104" i="8"/>
  <c r="C111" i="8"/>
  <c r="C106" i="8"/>
  <c r="C113" i="8"/>
  <c r="C54" i="8"/>
  <c r="C47" i="8"/>
  <c r="J47" i="8" s="1"/>
  <c r="C103" i="8"/>
  <c r="C40" i="8"/>
  <c r="C33" i="8"/>
  <c r="C60" i="16"/>
  <c r="J60" i="16" s="1"/>
  <c r="C70" i="16"/>
  <c r="C56" i="16"/>
  <c r="C63" i="16"/>
  <c r="C57" i="16"/>
  <c r="C64" i="16"/>
  <c r="C61" i="17"/>
  <c r="J61" i="17" s="1"/>
  <c r="D61" i="17" s="1"/>
  <c r="C68" i="17"/>
  <c r="J68" i="17" s="1"/>
  <c r="C62" i="17"/>
  <c r="C69" i="17"/>
  <c r="C57" i="17"/>
  <c r="C64" i="17"/>
  <c r="C56" i="17"/>
  <c r="C63" i="17"/>
  <c r="C58" i="17"/>
  <c r="C65" i="17"/>
  <c r="C43" i="5"/>
  <c r="J43" i="5" s="1"/>
  <c r="C44" i="5"/>
  <c r="J44" i="5" s="1"/>
  <c r="C60" i="5"/>
  <c r="J60" i="5" s="1"/>
  <c r="C34" i="5"/>
  <c r="C27" i="5"/>
  <c r="C49" i="5"/>
  <c r="J49" i="5" s="1"/>
  <c r="C57" i="5"/>
  <c r="J57" i="5" s="1"/>
  <c r="C52" i="5"/>
  <c r="J52" i="5" s="1"/>
  <c r="C50" i="5"/>
  <c r="J50" i="5" s="1"/>
  <c r="C58" i="5"/>
  <c r="J58" i="5" s="1"/>
  <c r="C51" i="5"/>
  <c r="J51" i="5" s="1"/>
  <c r="C59" i="5"/>
  <c r="J59" i="5" s="1"/>
  <c r="C48" i="1"/>
  <c r="J48" i="1" s="1"/>
  <c r="C26" i="1"/>
  <c r="C47" i="1"/>
  <c r="J47" i="1" s="1"/>
  <c r="C31" i="1"/>
  <c r="C24" i="1"/>
  <c r="C45" i="1"/>
  <c r="C38" i="1"/>
  <c r="C39" i="1"/>
  <c r="C25" i="1"/>
  <c r="C46" i="1"/>
  <c r="C32" i="1"/>
  <c r="C49" i="15"/>
  <c r="C56" i="15"/>
  <c r="C50" i="15"/>
  <c r="C57" i="15"/>
  <c r="C33" i="15"/>
  <c r="C26" i="15"/>
  <c r="C54" i="15"/>
  <c r="J54" i="15" s="1"/>
  <c r="D54" i="15" s="1"/>
  <c r="C40" i="15"/>
  <c r="C34" i="15"/>
  <c r="C27" i="15"/>
  <c r="C55" i="15"/>
  <c r="C41" i="15"/>
  <c r="C51" i="15"/>
  <c r="C58" i="15"/>
  <c r="C50" i="14"/>
  <c r="C65" i="14"/>
  <c r="C57" i="14"/>
  <c r="C51" i="14"/>
  <c r="C66" i="14"/>
  <c r="C58" i="14"/>
  <c r="C56" i="14"/>
  <c r="C64" i="14"/>
  <c r="C52" i="14"/>
  <c r="C55" i="14"/>
  <c r="C63" i="14"/>
  <c r="C42" i="14"/>
  <c r="C35" i="14"/>
  <c r="C28" i="14"/>
  <c r="C41" i="14"/>
  <c r="C34" i="14"/>
  <c r="C27" i="14"/>
  <c r="C37" i="13"/>
  <c r="C30" i="13"/>
  <c r="C51" i="13"/>
  <c r="C23" i="13"/>
  <c r="C38" i="13"/>
  <c r="C31" i="13"/>
  <c r="C52" i="13"/>
  <c r="C24" i="13"/>
  <c r="C46" i="13"/>
  <c r="C53" i="13"/>
  <c r="C47" i="13"/>
  <c r="C54" i="13"/>
  <c r="C48" i="13"/>
  <c r="C55" i="13"/>
  <c r="C61" i="11"/>
  <c r="C82" i="11"/>
  <c r="C75" i="11"/>
  <c r="C68" i="11"/>
  <c r="C79" i="11"/>
  <c r="C65" i="11"/>
  <c r="C72" i="11"/>
  <c r="C59" i="11"/>
  <c r="C80" i="11"/>
  <c r="C66" i="11"/>
  <c r="G66" i="11" s="1"/>
  <c r="E66" i="11" s="1"/>
  <c r="C73" i="11"/>
  <c r="G73" i="11" s="1"/>
  <c r="E73" i="11" s="1"/>
  <c r="C60" i="11"/>
  <c r="C67" i="11"/>
  <c r="G67" i="11" s="1"/>
  <c r="E67" i="11" s="1"/>
  <c r="C74" i="11"/>
  <c r="C81" i="11"/>
  <c r="C63" i="8"/>
  <c r="C91" i="8"/>
  <c r="C98" i="8"/>
  <c r="C84" i="8"/>
  <c r="C77" i="8"/>
  <c r="C70" i="8"/>
  <c r="C64" i="8"/>
  <c r="C71" i="8"/>
  <c r="C92" i="8"/>
  <c r="C85" i="8"/>
  <c r="C78" i="8"/>
  <c r="C99" i="8"/>
  <c r="C82" i="8"/>
  <c r="C68" i="8"/>
  <c r="C89" i="8"/>
  <c r="C96" i="8"/>
  <c r="C75" i="8"/>
  <c r="C62" i="8"/>
  <c r="C83" i="8"/>
  <c r="H83" i="8" s="1"/>
  <c r="C76" i="8"/>
  <c r="C69" i="8"/>
  <c r="G69" i="8" s="1"/>
  <c r="E69" i="8" s="1"/>
  <c r="C90" i="8"/>
  <c r="H90" i="8" s="1"/>
  <c r="C97" i="8"/>
  <c r="C32" i="16"/>
  <c r="C46" i="16"/>
  <c r="C39" i="16"/>
  <c r="C25" i="16"/>
  <c r="C27" i="17"/>
  <c r="C48" i="17"/>
  <c r="C41" i="17"/>
  <c r="C34" i="17"/>
  <c r="C26" i="17"/>
  <c r="C40" i="17"/>
  <c r="C33" i="17"/>
  <c r="C47" i="17"/>
  <c r="C54" i="17"/>
  <c r="J54" i="17" s="1"/>
  <c r="G15" i="25"/>
  <c r="F15" i="25"/>
  <c r="E6" i="6"/>
  <c r="E7" i="6"/>
  <c r="F5" i="6"/>
  <c r="D4" i="6"/>
  <c r="E4" i="6" s="1"/>
  <c r="F4" i="6" s="1"/>
  <c r="C48" i="14"/>
  <c r="J48" i="14" s="1"/>
  <c r="C54" i="16"/>
  <c r="C61" i="8"/>
  <c r="C49" i="14"/>
  <c r="C60" i="8"/>
  <c r="J60" i="8" s="1"/>
  <c r="J53" i="8"/>
  <c r="J39" i="8"/>
  <c r="J46" i="8"/>
  <c r="C47" i="15"/>
  <c r="J47" i="15" s="1"/>
  <c r="J26" i="15"/>
  <c r="J33" i="15"/>
  <c r="C55" i="17"/>
  <c r="C48" i="15"/>
  <c r="C53" i="16"/>
  <c r="J53" i="16" s="1"/>
  <c r="C58" i="11"/>
  <c r="C31" i="12"/>
  <c r="J31" i="12" s="1"/>
  <c r="C44" i="13"/>
  <c r="C45" i="13"/>
  <c r="K44" i="15"/>
  <c r="F44" i="15" s="1"/>
  <c r="C44" i="15"/>
  <c r="J44" i="15" s="1"/>
  <c r="D44" i="15" s="1"/>
  <c r="K43" i="15"/>
  <c r="G43" i="15" s="1"/>
  <c r="C43" i="15"/>
  <c r="K42" i="15"/>
  <c r="F42" i="15" s="1"/>
  <c r="C42" i="15"/>
  <c r="J42" i="15" s="1"/>
  <c r="D42" i="15" s="1"/>
  <c r="K40" i="15"/>
  <c r="G40" i="15" s="1"/>
  <c r="K37" i="15"/>
  <c r="F37" i="15" s="1"/>
  <c r="C37" i="15"/>
  <c r="J37" i="15" s="1"/>
  <c r="D37" i="15" s="1"/>
  <c r="C36" i="15"/>
  <c r="C35" i="15"/>
  <c r="K33" i="15"/>
  <c r="F33" i="15" s="1"/>
  <c r="C30" i="15"/>
  <c r="C29" i="15"/>
  <c r="J29" i="15" s="1"/>
  <c r="C28" i="15"/>
  <c r="J28" i="15" s="1"/>
  <c r="K45" i="14"/>
  <c r="G45" i="14" s="1"/>
  <c r="C45" i="14"/>
  <c r="J45" i="14" s="1"/>
  <c r="D45" i="14" s="1"/>
  <c r="K44" i="14"/>
  <c r="G44" i="14" s="1"/>
  <c r="C44" i="14"/>
  <c r="J44" i="14" s="1"/>
  <c r="D44" i="14" s="1"/>
  <c r="K43" i="14"/>
  <c r="F43" i="14" s="1"/>
  <c r="C43" i="14"/>
  <c r="J43" i="14" s="1"/>
  <c r="D43" i="14" s="1"/>
  <c r="K41" i="14"/>
  <c r="G41" i="14" s="1"/>
  <c r="K38" i="14"/>
  <c r="F38" i="14" s="1"/>
  <c r="C38" i="14"/>
  <c r="J38" i="14" s="1"/>
  <c r="D38" i="14" s="1"/>
  <c r="C37" i="14"/>
  <c r="C36" i="14"/>
  <c r="K34" i="14"/>
  <c r="F34" i="14" s="1"/>
  <c r="C31" i="14"/>
  <c r="C30" i="14"/>
  <c r="C29" i="14"/>
  <c r="H7" i="25"/>
  <c r="K15" i="25"/>
  <c r="K7" i="36"/>
  <c r="F15" i="26"/>
  <c r="K14" i="25"/>
  <c r="H8" i="25"/>
  <c r="G38" i="12" l="1"/>
  <c r="J38" i="12"/>
  <c r="F38" i="12" s="1"/>
  <c r="H93" i="11"/>
  <c r="F93" i="11" s="1"/>
  <c r="D60" i="16"/>
  <c r="J46" i="1"/>
  <c r="D46" i="1" s="1"/>
  <c r="J45" i="1"/>
  <c r="D45" i="1" s="1"/>
  <c r="D27" i="15"/>
  <c r="F27" i="15"/>
  <c r="G37" i="15"/>
  <c r="J51" i="13"/>
  <c r="G51" i="13"/>
  <c r="J7" i="36"/>
  <c r="I7" i="36"/>
  <c r="H98" i="8"/>
  <c r="E98" i="8" s="1"/>
  <c r="D32" i="8"/>
  <c r="F8" i="25"/>
  <c r="G8" i="25"/>
  <c r="G7" i="25"/>
  <c r="F7" i="25"/>
  <c r="G33" i="15"/>
  <c r="F43" i="15"/>
  <c r="F7" i="6"/>
  <c r="F6" i="6"/>
  <c r="I15" i="25"/>
  <c r="J15" i="25"/>
  <c r="J41" i="14"/>
  <c r="D41" i="14" s="1"/>
  <c r="D25" i="20"/>
  <c r="J30" i="15"/>
  <c r="F30" i="15" s="1"/>
  <c r="G34" i="14"/>
  <c r="F29" i="15"/>
  <c r="D26" i="15"/>
  <c r="F26" i="15"/>
  <c r="J40" i="15"/>
  <c r="D40" i="15" s="1"/>
  <c r="J43" i="15"/>
  <c r="D43" i="15" s="1"/>
  <c r="D29" i="15"/>
  <c r="D33" i="15"/>
  <c r="F40" i="15"/>
  <c r="G42" i="15"/>
  <c r="G44" i="15"/>
  <c r="G43" i="14"/>
  <c r="G38" i="14"/>
  <c r="F45" i="14"/>
  <c r="J27" i="14"/>
  <c r="F27" i="14" s="1"/>
  <c r="J28" i="14"/>
  <c r="F28" i="14" s="1"/>
  <c r="J29" i="14"/>
  <c r="J30" i="14"/>
  <c r="F30" i="14" s="1"/>
  <c r="J31" i="14"/>
  <c r="F31" i="14" s="1"/>
  <c r="F41" i="14"/>
  <c r="F44" i="14"/>
  <c r="J34" i="14"/>
  <c r="D34" i="14" s="1"/>
  <c r="K41" i="13"/>
  <c r="G41" i="13" s="1"/>
  <c r="C41" i="13"/>
  <c r="K40" i="13"/>
  <c r="G40" i="13" s="1"/>
  <c r="C40" i="13"/>
  <c r="J40" i="13" s="1"/>
  <c r="D40" i="13" s="1"/>
  <c r="K39" i="13"/>
  <c r="G39" i="13" s="1"/>
  <c r="C39" i="13"/>
  <c r="K37" i="13"/>
  <c r="G37" i="13" s="1"/>
  <c r="J37" i="13"/>
  <c r="K34" i="13"/>
  <c r="F34" i="13" s="1"/>
  <c r="C34" i="13"/>
  <c r="J34" i="13" s="1"/>
  <c r="C33" i="13"/>
  <c r="J33" i="13" s="1"/>
  <c r="C32" i="13"/>
  <c r="K30" i="13"/>
  <c r="F30" i="13" s="1"/>
  <c r="J30" i="13"/>
  <c r="D30" i="13" s="1"/>
  <c r="C27" i="13"/>
  <c r="J27" i="13" s="1"/>
  <c r="C26" i="13"/>
  <c r="J26" i="13" s="1"/>
  <c r="C25" i="13"/>
  <c r="J25" i="13" s="1"/>
  <c r="J23" i="13"/>
  <c r="K7" i="25"/>
  <c r="H14" i="25"/>
  <c r="K14" i="36"/>
  <c r="K8" i="25"/>
  <c r="D38" i="12" l="1"/>
  <c r="F98" i="8"/>
  <c r="D51" i="13"/>
  <c r="I14" i="36"/>
  <c r="J14" i="36"/>
  <c r="F14" i="25"/>
  <c r="G14" i="25"/>
  <c r="J14" i="25" s="1"/>
  <c r="I8" i="25"/>
  <c r="I7" i="25"/>
  <c r="J7" i="25"/>
  <c r="J8" i="25"/>
  <c r="D30" i="15"/>
  <c r="D30" i="14"/>
  <c r="D31" i="14"/>
  <c r="D27" i="14"/>
  <c r="D28" i="14"/>
  <c r="F37" i="13"/>
  <c r="F40" i="13"/>
  <c r="G34" i="13"/>
  <c r="D25" i="13"/>
  <c r="F23" i="13"/>
  <c r="F25" i="13"/>
  <c r="F26" i="13"/>
  <c r="D23" i="13"/>
  <c r="D26" i="13"/>
  <c r="F27" i="13"/>
  <c r="D27" i="13"/>
  <c r="G30" i="13"/>
  <c r="D34" i="13"/>
  <c r="D37" i="13"/>
  <c r="F39" i="13"/>
  <c r="F41" i="13"/>
  <c r="J39" i="13"/>
  <c r="D39" i="13" s="1"/>
  <c r="J41" i="13"/>
  <c r="D41" i="13" s="1"/>
  <c r="C28" i="12"/>
  <c r="C27" i="12"/>
  <c r="C26" i="12"/>
  <c r="C25" i="12"/>
  <c r="K54" i="11"/>
  <c r="F54" i="11" s="1"/>
  <c r="C54" i="11"/>
  <c r="J54" i="11" s="1"/>
  <c r="D54" i="11" s="1"/>
  <c r="K53" i="11"/>
  <c r="G53" i="11" s="1"/>
  <c r="C53" i="11"/>
  <c r="J53" i="11" s="1"/>
  <c r="D53" i="11" s="1"/>
  <c r="K52" i="11"/>
  <c r="G52" i="11" s="1"/>
  <c r="C52" i="11"/>
  <c r="J52" i="11" s="1"/>
  <c r="D52" i="11" s="1"/>
  <c r="K50" i="11"/>
  <c r="J50" i="11"/>
  <c r="D50" i="11" s="1"/>
  <c r="K47" i="11"/>
  <c r="F47" i="11" s="1"/>
  <c r="C47" i="11"/>
  <c r="J47" i="11" s="1"/>
  <c r="K46" i="11"/>
  <c r="F46" i="11" s="1"/>
  <c r="C46" i="11"/>
  <c r="J46" i="11" s="1"/>
  <c r="K45" i="11"/>
  <c r="F45" i="11" s="1"/>
  <c r="C45" i="11"/>
  <c r="J45" i="11" s="1"/>
  <c r="J44" i="11"/>
  <c r="K43" i="11"/>
  <c r="G43" i="11" s="1"/>
  <c r="K40" i="11"/>
  <c r="G40" i="11" s="1"/>
  <c r="C40" i="11"/>
  <c r="J40" i="11" s="1"/>
  <c r="D40" i="11" s="1"/>
  <c r="K39" i="11"/>
  <c r="F39" i="11" s="1"/>
  <c r="C39" i="11"/>
  <c r="J39" i="11" s="1"/>
  <c r="C38" i="11"/>
  <c r="K36" i="11"/>
  <c r="F36" i="11" s="1"/>
  <c r="J36" i="11"/>
  <c r="C33" i="11"/>
  <c r="J33" i="11" s="1"/>
  <c r="C32" i="11"/>
  <c r="J32" i="11" s="1"/>
  <c r="C31" i="11"/>
  <c r="J29" i="11"/>
  <c r="K53" i="8"/>
  <c r="F53" i="8" s="1"/>
  <c r="K55" i="8"/>
  <c r="F55" i="8" s="1"/>
  <c r="K56" i="8"/>
  <c r="G56" i="8" s="1"/>
  <c r="K57" i="8"/>
  <c r="F57" i="8" s="1"/>
  <c r="C55" i="8"/>
  <c r="J55" i="8" s="1"/>
  <c r="C56" i="8"/>
  <c r="J56" i="8" s="1"/>
  <c r="C57" i="8"/>
  <c r="J57" i="8" s="1"/>
  <c r="K50" i="16"/>
  <c r="F50" i="16" s="1"/>
  <c r="C50" i="16"/>
  <c r="J50" i="16" s="1"/>
  <c r="D50" i="16" s="1"/>
  <c r="K49" i="16"/>
  <c r="F49" i="16" s="1"/>
  <c r="C49" i="16"/>
  <c r="K48" i="16"/>
  <c r="F48" i="16" s="1"/>
  <c r="C48" i="16"/>
  <c r="J48" i="16" s="1"/>
  <c r="J47" i="16"/>
  <c r="J46" i="16"/>
  <c r="K43" i="16"/>
  <c r="F43" i="16" s="1"/>
  <c r="J43" i="16"/>
  <c r="K42" i="16"/>
  <c r="F42" i="16" s="1"/>
  <c r="C42" i="16"/>
  <c r="J42" i="16" s="1"/>
  <c r="K41" i="16"/>
  <c r="F41" i="16" s="1"/>
  <c r="C41" i="16"/>
  <c r="J41" i="16" s="1"/>
  <c r="J40" i="16"/>
  <c r="J39" i="16"/>
  <c r="K36" i="16"/>
  <c r="F36" i="16" s="1"/>
  <c r="C36" i="16"/>
  <c r="K35" i="16"/>
  <c r="G35" i="16" s="1"/>
  <c r="C35" i="16"/>
  <c r="C34" i="16"/>
  <c r="K32" i="16"/>
  <c r="G32" i="16" s="1"/>
  <c r="C29" i="16"/>
  <c r="J29" i="16" s="1"/>
  <c r="C28" i="16"/>
  <c r="J28" i="16" s="1"/>
  <c r="C27" i="16"/>
  <c r="J25" i="16"/>
  <c r="K50" i="17"/>
  <c r="F50" i="17" s="1"/>
  <c r="K51" i="17"/>
  <c r="F51" i="17" s="1"/>
  <c r="K49" i="17"/>
  <c r="F49" i="17" s="1"/>
  <c r="C49" i="17"/>
  <c r="C50" i="17"/>
  <c r="C51" i="17"/>
  <c r="J51" i="17" s="1"/>
  <c r="J47" i="17"/>
  <c r="K43" i="17"/>
  <c r="F43" i="17" s="1"/>
  <c r="K44" i="17"/>
  <c r="F44" i="17" s="1"/>
  <c r="K42" i="17"/>
  <c r="F42" i="17" s="1"/>
  <c r="J44" i="17"/>
  <c r="C43" i="17"/>
  <c r="J43" i="17" s="1"/>
  <c r="C42" i="17"/>
  <c r="J40" i="17"/>
  <c r="K37" i="17"/>
  <c r="G37" i="17" s="1"/>
  <c r="C37" i="17"/>
  <c r="K36" i="17"/>
  <c r="G36" i="17" s="1"/>
  <c r="C36" i="17"/>
  <c r="J36" i="17" s="1"/>
  <c r="C35" i="17"/>
  <c r="K33" i="17"/>
  <c r="G33" i="17" s="1"/>
  <c r="J33" i="17"/>
  <c r="C30" i="17"/>
  <c r="C29" i="17"/>
  <c r="C28" i="17"/>
  <c r="K35" i="5"/>
  <c r="G35" i="5" s="1"/>
  <c r="K37" i="5"/>
  <c r="G37" i="5" s="1"/>
  <c r="C37" i="5"/>
  <c r="J37" i="5" s="1"/>
  <c r="J34" i="5"/>
  <c r="C35" i="5"/>
  <c r="C36" i="5"/>
  <c r="C28" i="5"/>
  <c r="C29" i="5"/>
  <c r="C30" i="5"/>
  <c r="F14" i="26"/>
  <c r="K7" i="26"/>
  <c r="K81" i="26" l="1"/>
  <c r="G50" i="11"/>
  <c r="F50" i="11"/>
  <c r="J35" i="5"/>
  <c r="D35" i="5" s="1"/>
  <c r="G54" i="11"/>
  <c r="I14" i="25"/>
  <c r="G36" i="16"/>
  <c r="F37" i="5"/>
  <c r="F56" i="8"/>
  <c r="G53" i="8"/>
  <c r="G57" i="8"/>
  <c r="F40" i="11"/>
  <c r="G55" i="8"/>
  <c r="F35" i="5"/>
  <c r="G36" i="11"/>
  <c r="G39" i="11"/>
  <c r="F52" i="11"/>
  <c r="J43" i="11"/>
  <c r="J50" i="17"/>
  <c r="D50" i="17" s="1"/>
  <c r="F32" i="11"/>
  <c r="F33" i="11"/>
  <c r="J31" i="11"/>
  <c r="F31" i="11" s="1"/>
  <c r="F30" i="11"/>
  <c r="F29" i="11"/>
  <c r="D56" i="8"/>
  <c r="D55" i="8"/>
  <c r="D53" i="8"/>
  <c r="D48" i="16"/>
  <c r="D51" i="17"/>
  <c r="J49" i="17"/>
  <c r="D49" i="17" s="1"/>
  <c r="J24" i="12"/>
  <c r="D24" i="12" s="1"/>
  <c r="D29" i="11"/>
  <c r="D30" i="11"/>
  <c r="D32" i="11"/>
  <c r="D33" i="11"/>
  <c r="D36" i="11"/>
  <c r="D39" i="11"/>
  <c r="F53" i="11"/>
  <c r="D25" i="16"/>
  <c r="J32" i="16"/>
  <c r="D32" i="16" s="1"/>
  <c r="D26" i="16"/>
  <c r="D28" i="16"/>
  <c r="D29" i="16"/>
  <c r="F25" i="16"/>
  <c r="F26" i="16"/>
  <c r="F28" i="16"/>
  <c r="F29" i="16"/>
  <c r="F32" i="16"/>
  <c r="F35" i="16"/>
  <c r="J36" i="16"/>
  <c r="D36" i="16" s="1"/>
  <c r="J27" i="16"/>
  <c r="D27" i="16" s="1"/>
  <c r="J49" i="16"/>
  <c r="D49" i="16" s="1"/>
  <c r="J35" i="16"/>
  <c r="D35" i="16" s="1"/>
  <c r="F33" i="17"/>
  <c r="F37" i="17"/>
  <c r="D33" i="17"/>
  <c r="J30" i="17"/>
  <c r="F30" i="17" s="1"/>
  <c r="D36" i="17"/>
  <c r="F36" i="17"/>
  <c r="J29" i="17"/>
  <c r="F29" i="17" s="1"/>
  <c r="J26" i="17"/>
  <c r="D26" i="17" s="1"/>
  <c r="J42" i="17"/>
  <c r="J28" i="17"/>
  <c r="F28" i="17" s="1"/>
  <c r="J37" i="17"/>
  <c r="D37" i="17" s="1"/>
  <c r="D31" i="11" l="1"/>
  <c r="F24" i="12"/>
  <c r="F27" i="16"/>
  <c r="D28" i="17"/>
  <c r="F26" i="17"/>
  <c r="D29" i="17"/>
  <c r="D30" i="17"/>
  <c r="C15" i="42" l="1"/>
  <c r="C15" i="44"/>
  <c r="D37" i="5"/>
  <c r="K36" i="5"/>
  <c r="J36" i="5"/>
  <c r="D36" i="5" s="1"/>
  <c r="J30" i="5"/>
  <c r="J27" i="5"/>
  <c r="F27" i="5" s="1"/>
  <c r="J26" i="5"/>
  <c r="J11" i="26"/>
  <c r="G14" i="26"/>
  <c r="H4" i="26"/>
  <c r="I29" i="26"/>
  <c r="B25" i="26"/>
  <c r="G9" i="26"/>
  <c r="B29" i="26"/>
  <c r="B8" i="26"/>
  <c r="B11" i="26"/>
  <c r="H28" i="26"/>
  <c r="B27" i="26"/>
  <c r="B30" i="26"/>
  <c r="B32" i="26"/>
  <c r="J4" i="26"/>
  <c r="H30" i="26"/>
  <c r="B12" i="26"/>
  <c r="K28" i="26"/>
  <c r="H9" i="26"/>
  <c r="I11" i="26"/>
  <c r="L28" i="26"/>
  <c r="H7" i="28"/>
  <c r="K21" i="26"/>
  <c r="L4" i="26"/>
  <c r="J26" i="26"/>
  <c r="J22" i="26"/>
  <c r="L26" i="26"/>
  <c r="B6" i="26"/>
  <c r="J14" i="26"/>
  <c r="H8" i="28"/>
  <c r="K6" i="26"/>
  <c r="B13" i="26"/>
  <c r="G26" i="26"/>
  <c r="K12" i="26"/>
  <c r="L23" i="26"/>
  <c r="I6" i="26"/>
  <c r="H10" i="22"/>
  <c r="J9" i="26"/>
  <c r="I14" i="26"/>
  <c r="C32" i="26"/>
  <c r="B9" i="26"/>
  <c r="B23" i="26"/>
  <c r="K22" i="26"/>
  <c r="L10" i="26"/>
  <c r="L12" i="26"/>
  <c r="I26" i="26"/>
  <c r="G12" i="26"/>
  <c r="G23" i="26"/>
  <c r="I13" i="26"/>
  <c r="I9" i="26"/>
  <c r="B26" i="26"/>
  <c r="J30" i="26"/>
  <c r="G13" i="26"/>
  <c r="H7" i="26"/>
  <c r="B7" i="26"/>
  <c r="I28" i="26"/>
  <c r="B10" i="26"/>
  <c r="B28" i="26"/>
  <c r="K29" i="26"/>
  <c r="K4" i="26"/>
  <c r="J6" i="26"/>
  <c r="B5" i="26"/>
  <c r="L7" i="26"/>
  <c r="K15" i="26"/>
  <c r="I22" i="26"/>
  <c r="L21" i="26"/>
  <c r="B22" i="26"/>
  <c r="H15" i="26"/>
  <c r="J23" i="26"/>
  <c r="B24" i="26"/>
  <c r="G15" i="26"/>
  <c r="J28" i="26"/>
  <c r="H29" i="26"/>
  <c r="G6" i="26"/>
  <c r="K26" i="26"/>
  <c r="L6" i="26"/>
  <c r="K8" i="26"/>
  <c r="H14" i="26"/>
  <c r="K14" i="26"/>
  <c r="J5" i="26"/>
  <c r="L29" i="26"/>
  <c r="L31" i="26"/>
  <c r="B31" i="26"/>
  <c r="J15" i="26"/>
  <c r="I5" i="26"/>
  <c r="I30" i="26"/>
  <c r="G22" i="26"/>
  <c r="I12" i="26"/>
  <c r="K11" i="26"/>
  <c r="G4" i="26"/>
  <c r="K13" i="26"/>
  <c r="H10" i="28"/>
  <c r="K9" i="26"/>
  <c r="G21" i="26"/>
  <c r="H23" i="26"/>
  <c r="G29" i="26"/>
  <c r="J29" i="26"/>
  <c r="G11" i="26"/>
  <c r="H13" i="26"/>
  <c r="J13" i="26"/>
  <c r="L22" i="26"/>
  <c r="K10" i="26"/>
  <c r="I23" i="26"/>
  <c r="I15" i="26"/>
  <c r="H22" i="26"/>
  <c r="H12" i="26"/>
  <c r="K30" i="26"/>
  <c r="L32" i="26"/>
  <c r="G28" i="26"/>
  <c r="I21" i="26"/>
  <c r="G5" i="26"/>
  <c r="L5" i="26"/>
  <c r="K23" i="26"/>
  <c r="H21" i="26"/>
  <c r="H11" i="26"/>
  <c r="L8" i="26"/>
  <c r="I20" i="26"/>
  <c r="H26" i="26"/>
  <c r="H5" i="26"/>
  <c r="L14" i="26"/>
  <c r="L13" i="26"/>
  <c r="J21" i="26"/>
  <c r="B15" i="26"/>
  <c r="L11" i="26"/>
  <c r="L30" i="26"/>
  <c r="L9" i="26"/>
  <c r="L15" i="26"/>
  <c r="H6" i="26"/>
  <c r="J12" i="26"/>
  <c r="K5" i="26"/>
  <c r="H8" i="22"/>
  <c r="G30" i="26"/>
  <c r="B14" i="26"/>
  <c r="K91" i="26" l="1"/>
  <c r="K92" i="26" s="1"/>
  <c r="K112" i="26" s="1"/>
  <c r="C94" i="26"/>
  <c r="C95" i="26" s="1"/>
  <c r="G15" i="43"/>
  <c r="C99" i="26"/>
  <c r="K93" i="26"/>
  <c r="H81" i="26"/>
  <c r="J91" i="26"/>
  <c r="J92" i="26" s="1"/>
  <c r="J112" i="26" s="1"/>
  <c r="I91" i="26"/>
  <c r="I92" i="26" s="1"/>
  <c r="I112" i="26" s="1"/>
  <c r="G91" i="26"/>
  <c r="G92" i="26" s="1"/>
  <c r="G112" i="26" s="1"/>
  <c r="H91" i="26"/>
  <c r="H92" i="26" s="1"/>
  <c r="H112" i="26" s="1"/>
  <c r="F10" i="28"/>
  <c r="G10" i="28"/>
  <c r="G7" i="28"/>
  <c r="J7" i="28" s="1"/>
  <c r="F7" i="28"/>
  <c r="I7" i="28" s="1"/>
  <c r="F8" i="28"/>
  <c r="G8" i="28"/>
  <c r="J8" i="28" s="1"/>
  <c r="G10" i="22"/>
  <c r="G8" i="22"/>
  <c r="G7" i="22"/>
  <c r="F10" i="22"/>
  <c r="F8" i="22"/>
  <c r="F7" i="22"/>
  <c r="F15" i="42"/>
  <c r="F15" i="44"/>
  <c r="F15" i="43"/>
  <c r="K15" i="44"/>
  <c r="K15" i="43"/>
  <c r="K15" i="42"/>
  <c r="E15" i="44"/>
  <c r="E15" i="42"/>
  <c r="H15" i="43"/>
  <c r="H15" i="42"/>
  <c r="H15" i="44"/>
  <c r="G15" i="44"/>
  <c r="G15" i="42"/>
  <c r="J15" i="42"/>
  <c r="J15" i="43"/>
  <c r="J15" i="44"/>
  <c r="D15" i="44"/>
  <c r="D15" i="42"/>
  <c r="I15" i="42"/>
  <c r="I15" i="44"/>
  <c r="I15" i="43"/>
  <c r="F117" i="26"/>
  <c r="F118" i="26" s="1"/>
  <c r="G36" i="5"/>
  <c r="F36" i="5"/>
  <c r="D27" i="5"/>
  <c r="J28" i="5"/>
  <c r="J29" i="5"/>
  <c r="J42" i="1"/>
  <c r="G42" i="1" s="1"/>
  <c r="F32" i="1"/>
  <c r="G32" i="1"/>
  <c r="J25" i="1"/>
  <c r="F25" i="1" s="1"/>
  <c r="G26" i="1"/>
  <c r="G27" i="1"/>
  <c r="G28" i="1"/>
  <c r="C41" i="1"/>
  <c r="C40" i="1"/>
  <c r="J39" i="1"/>
  <c r="J38" i="1"/>
  <c r="K35" i="1"/>
  <c r="F35" i="1" s="1"/>
  <c r="J35" i="1"/>
  <c r="D35" i="1" s="1"/>
  <c r="K34" i="1"/>
  <c r="G34" i="1" s="1"/>
  <c r="C34" i="1"/>
  <c r="J34" i="1" s="1"/>
  <c r="D34" i="1" s="1"/>
  <c r="C33" i="1"/>
  <c r="D32" i="1"/>
  <c r="K31" i="1"/>
  <c r="G31" i="1" s="1"/>
  <c r="J31" i="1"/>
  <c r="D31" i="1" s="1"/>
  <c r="C27" i="1"/>
  <c r="F7" i="26"/>
  <c r="H10" i="26"/>
  <c r="G10" i="26"/>
  <c r="F8" i="26"/>
  <c r="G7" i="26"/>
  <c r="G8" i="26"/>
  <c r="F10" i="26"/>
  <c r="D32" i="26"/>
  <c r="E32" i="26"/>
  <c r="F32" i="26"/>
  <c r="H8" i="26"/>
  <c r="H139" i="26" l="1"/>
  <c r="C124" i="26"/>
  <c r="C100" i="26"/>
  <c r="C121" i="26" s="1"/>
  <c r="D94" i="26"/>
  <c r="D95" i="26" s="1"/>
  <c r="K117" i="26"/>
  <c r="K118" i="26" s="1"/>
  <c r="K126" i="26" s="1"/>
  <c r="I117" i="26"/>
  <c r="I118" i="26" s="1"/>
  <c r="I126" i="26" s="1"/>
  <c r="C108" i="26"/>
  <c r="C109" i="26" s="1"/>
  <c r="H93" i="26"/>
  <c r="G81" i="26"/>
  <c r="G93" i="26" s="1"/>
  <c r="F81" i="26"/>
  <c r="F93" i="26" s="1"/>
  <c r="H117" i="26"/>
  <c r="H118" i="26" s="1"/>
  <c r="H126" i="26" s="1"/>
  <c r="J117" i="26"/>
  <c r="J118" i="26" s="1"/>
  <c r="J126" i="26" s="1"/>
  <c r="G117" i="26"/>
  <c r="G118" i="26" s="1"/>
  <c r="G126" i="26" s="1"/>
  <c r="F99" i="26"/>
  <c r="E99" i="26"/>
  <c r="D99" i="26"/>
  <c r="E94" i="26"/>
  <c r="E95" i="26" s="1"/>
  <c r="I7" i="22"/>
  <c r="I10" i="22"/>
  <c r="I8" i="22"/>
  <c r="J10" i="28"/>
  <c r="I8" i="28"/>
  <c r="I10" i="28"/>
  <c r="F42" i="1"/>
  <c r="E42" i="1"/>
  <c r="D42" i="1"/>
  <c r="J10" i="22"/>
  <c r="J7" i="22"/>
  <c r="J8" i="22"/>
  <c r="F126" i="26"/>
  <c r="J27" i="1"/>
  <c r="F27" i="1" s="1"/>
  <c r="J28" i="1"/>
  <c r="F28" i="1" s="1"/>
  <c r="J40" i="1"/>
  <c r="F40" i="1" s="1"/>
  <c r="J26" i="1"/>
  <c r="F26" i="1" s="1"/>
  <c r="J41" i="1"/>
  <c r="E41" i="1" s="1"/>
  <c r="J24" i="1"/>
  <c r="F24" i="1" s="1"/>
  <c r="G35" i="1"/>
  <c r="D25" i="1"/>
  <c r="F31" i="1"/>
  <c r="F34" i="1"/>
  <c r="D39" i="8"/>
  <c r="K49" i="8"/>
  <c r="F49" i="8" s="1"/>
  <c r="K50" i="8"/>
  <c r="F50" i="8" s="1"/>
  <c r="K48" i="8"/>
  <c r="F48" i="8" s="1"/>
  <c r="G42" i="8"/>
  <c r="K43" i="8"/>
  <c r="F43" i="8" s="1"/>
  <c r="G39" i="8"/>
  <c r="C49" i="8"/>
  <c r="J49" i="8" s="1"/>
  <c r="C50" i="8"/>
  <c r="J50" i="8" s="1"/>
  <c r="C48" i="8"/>
  <c r="J48" i="8" s="1"/>
  <c r="C42" i="8"/>
  <c r="C43" i="8"/>
  <c r="C41" i="8"/>
  <c r="D33" i="8"/>
  <c r="C34" i="8"/>
  <c r="C35" i="8"/>
  <c r="C36" i="8"/>
  <c r="I7" i="26"/>
  <c r="I10" i="26"/>
  <c r="J10" i="26"/>
  <c r="J7" i="26"/>
  <c r="J8" i="26"/>
  <c r="I8" i="26"/>
  <c r="D40" i="1" l="1"/>
  <c r="J36" i="8"/>
  <c r="J42" i="8"/>
  <c r="D42" i="8" s="1"/>
  <c r="C127" i="26"/>
  <c r="C135" i="26" s="1"/>
  <c r="J34" i="8"/>
  <c r="F34" i="8" s="1"/>
  <c r="J81" i="26"/>
  <c r="J93" i="26" s="1"/>
  <c r="I81" i="26"/>
  <c r="I93" i="26" s="1"/>
  <c r="D124" i="26"/>
  <c r="E124" i="26"/>
  <c r="C123" i="26"/>
  <c r="C122" i="26" s="1"/>
  <c r="D108" i="26"/>
  <c r="D109" i="26" s="1"/>
  <c r="E108" i="26"/>
  <c r="E109" i="26" s="1"/>
  <c r="D100" i="26"/>
  <c r="D123" i="26" s="1"/>
  <c r="E100" i="26"/>
  <c r="E121" i="26" s="1"/>
  <c r="D27" i="1"/>
  <c r="D24" i="1"/>
  <c r="D28" i="1"/>
  <c r="D26" i="1"/>
  <c r="G41" i="1"/>
  <c r="E40" i="1"/>
  <c r="G40" i="1"/>
  <c r="D41" i="1"/>
  <c r="F41" i="1"/>
  <c r="G43" i="8"/>
  <c r="F39" i="8"/>
  <c r="F42" i="8"/>
  <c r="J35" i="8"/>
  <c r="F35" i="8" s="1"/>
  <c r="J43" i="8"/>
  <c r="F33" i="8"/>
  <c r="D34" i="8" l="1"/>
  <c r="C134" i="26"/>
  <c r="D121" i="26"/>
  <c r="D122" i="26" s="1"/>
  <c r="E123" i="26"/>
  <c r="E122" i="26" s="1"/>
  <c r="D35" i="8"/>
  <c r="H7" i="27"/>
  <c r="H8" i="27"/>
  <c r="H10" i="27"/>
  <c r="D127" i="26" l="1"/>
  <c r="E127" i="26"/>
  <c r="F8" i="27"/>
  <c r="G8" i="27"/>
  <c r="F10" i="27"/>
  <c r="G10" i="27"/>
  <c r="G7" i="27"/>
  <c r="F7" i="27"/>
  <c r="F25" i="26"/>
  <c r="F27" i="26"/>
  <c r="K31" i="26"/>
  <c r="D135" i="26" l="1"/>
  <c r="C27" i="45" s="1"/>
  <c r="D134" i="26"/>
  <c r="F113" i="26"/>
  <c r="E134" i="26"/>
  <c r="E135" i="26"/>
  <c r="C26" i="45"/>
  <c r="H31" i="26"/>
  <c r="F24" i="26"/>
  <c r="G27" i="26"/>
  <c r="K32" i="26"/>
  <c r="H32" i="26"/>
  <c r="H27" i="26"/>
  <c r="K94" i="26" l="1"/>
  <c r="K95" i="26" s="1"/>
  <c r="K99" i="26"/>
  <c r="H113" i="26"/>
  <c r="H114" i="26" s="1"/>
  <c r="H99" i="26"/>
  <c r="H94" i="26"/>
  <c r="H95" i="26" s="1"/>
  <c r="G113" i="26"/>
  <c r="G114" i="26" s="1"/>
  <c r="C28" i="45"/>
  <c r="C14" i="45"/>
  <c r="F114" i="26"/>
  <c r="H108" i="26" l="1"/>
  <c r="H109" i="26" s="1"/>
  <c r="K108" i="26"/>
  <c r="K109" i="26" s="1"/>
  <c r="H124" i="26"/>
  <c r="K124" i="26"/>
  <c r="H115" i="26"/>
  <c r="G115" i="26"/>
  <c r="I32" i="26"/>
  <c r="I99" i="26" l="1"/>
  <c r="G125" i="26"/>
  <c r="F115" i="26"/>
  <c r="H125" i="26"/>
  <c r="F94" i="26"/>
  <c r="I94" i="26"/>
  <c r="G32" i="26"/>
  <c r="H25" i="26"/>
  <c r="F108" i="26" l="1"/>
  <c r="F124" i="26"/>
  <c r="I124" i="26"/>
  <c r="I108" i="26"/>
  <c r="G99" i="26"/>
  <c r="H100" i="26"/>
  <c r="I95" i="26"/>
  <c r="F95" i="26"/>
  <c r="F125" i="26"/>
  <c r="G94" i="26"/>
  <c r="J32" i="26"/>
  <c r="G124" i="26" l="1"/>
  <c r="H121" i="26"/>
  <c r="H123" i="26"/>
  <c r="G108" i="26"/>
  <c r="J99" i="26"/>
  <c r="G95" i="26"/>
  <c r="F109" i="26"/>
  <c r="I109" i="26"/>
  <c r="J10" i="27"/>
  <c r="I10" i="27"/>
  <c r="J94" i="26"/>
  <c r="H24" i="26"/>
  <c r="K24" i="26"/>
  <c r="I27" i="26"/>
  <c r="K27" i="26"/>
  <c r="J27" i="26"/>
  <c r="L27" i="26"/>
  <c r="G25" i="26"/>
  <c r="I113" i="26" l="1"/>
  <c r="H122" i="26"/>
  <c r="J124" i="26"/>
  <c r="J108" i="26"/>
  <c r="K113" i="26"/>
  <c r="K114" i="26" s="1"/>
  <c r="J113" i="26"/>
  <c r="J114" i="26" s="1"/>
  <c r="H127" i="26"/>
  <c r="F100" i="26"/>
  <c r="G100" i="26"/>
  <c r="G121" i="26" s="1"/>
  <c r="G109" i="26"/>
  <c r="J95" i="26"/>
  <c r="I114" i="26" l="1"/>
  <c r="I115" i="26" s="1"/>
  <c r="F121" i="26"/>
  <c r="F123" i="26"/>
  <c r="G123" i="26"/>
  <c r="G122" i="26" s="1"/>
  <c r="H135" i="26"/>
  <c r="H134" i="26"/>
  <c r="J7" i="27"/>
  <c r="J109" i="26"/>
  <c r="J8" i="27"/>
  <c r="I8" i="27"/>
  <c r="G31" i="26"/>
  <c r="J24" i="26"/>
  <c r="G24" i="26"/>
  <c r="J25" i="26"/>
  <c r="L25" i="26"/>
  <c r="I25" i="26"/>
  <c r="K25" i="26"/>
  <c r="F122" i="26" l="1"/>
  <c r="D14" i="45"/>
  <c r="D28" i="45"/>
  <c r="K100" i="26"/>
  <c r="I100" i="26"/>
  <c r="J100" i="26"/>
  <c r="J115" i="26"/>
  <c r="K115" i="26"/>
  <c r="F127" i="26"/>
  <c r="F135" i="26" s="1"/>
  <c r="I125" i="26"/>
  <c r="G127" i="26"/>
  <c r="G135" i="26" s="1"/>
  <c r="I7" i="27"/>
  <c r="J31" i="26"/>
  <c r="L24" i="26"/>
  <c r="I24" i="26"/>
  <c r="I31" i="26"/>
  <c r="I121" i="26" l="1"/>
  <c r="I123" i="26"/>
  <c r="J121" i="26"/>
  <c r="J123" i="26"/>
  <c r="K123" i="26"/>
  <c r="K121" i="26"/>
  <c r="F134" i="26"/>
  <c r="K125" i="26"/>
  <c r="J125" i="26"/>
  <c r="G134" i="26"/>
  <c r="K122" i="26" l="1"/>
  <c r="J122" i="26"/>
  <c r="I122" i="26"/>
  <c r="D27" i="45"/>
  <c r="K127" i="26"/>
  <c r="D26" i="45"/>
  <c r="J127" i="26"/>
  <c r="J135" i="26" s="1"/>
  <c r="I127" i="26"/>
  <c r="I135" i="26" s="1"/>
  <c r="K135" i="26" l="1"/>
  <c r="E14" i="45" s="1"/>
  <c r="K134" i="26"/>
  <c r="J134" i="26"/>
  <c r="I134" i="26"/>
  <c r="E28" i="45" l="1"/>
  <c r="E27" i="45"/>
  <c r="E26" i="45"/>
  <c r="F61" i="1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1" authorId="0" shapeId="0" xr:uid="{00000000-0006-0000-0400-000001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Quellen mit Grid Services https://doi.org/10.33423/jsis.v15i8.3923
https://doi.org/10.3390/en13040917</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C8" authorId="0" shapeId="0" xr:uid="{C06BB7B4-6203-4AAF-B4FA-41B1282791F7}">
      <text>
        <r>
          <rPr>
            <b/>
            <sz val="9"/>
            <color indexed="81"/>
            <rFont val="Segoe UI"/>
            <family val="2"/>
          </rPr>
          <t>Author:</t>
        </r>
        <r>
          <rPr>
            <sz val="9"/>
            <color indexed="81"/>
            <rFont val="Segoe UI"/>
            <family val="2"/>
          </rPr>
          <t xml:space="preserve">
2-3 for Li-Batterien
4-7 für mechanische Speicher</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O4" authorId="0" shapeId="0" xr:uid="{00000000-0006-0000-0700-000001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Beim nächsten Termin nach €/$ Umrechnung fragen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H10" authorId="0" shapeId="0" xr:uid="{00000000-0006-0000-1300-00000200000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Warum sinkt die RTE über die Zeit?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<sst xmlns="http://schemas.openxmlformats.org/spreadsheetml/2006/main" count="3974" uniqueCount="596">
  <si>
    <t>Cost-of-Service tool - Version 2.0</t>
  </si>
  <si>
    <t>Update</t>
  </si>
  <si>
    <t>IRENA’s spreadsheet-based Electricity Storage Cost-of-Service Tool 2.0 offers an updated  quick and accessible way to estimate the annual cost of storage services for different technologies and applications. While not a detailed investment model, it allows users to identify potentially cost-effective options for further assessment of performance, suitability, and economics.</t>
  </si>
  <si>
    <t xml:space="preserve">The tool allows users to analyze a wide range of energy storage technologies (including mechanical, electrochemical, and chemical) across multiple applications (see the Applications tab). Each configuration can be defined through user-selected parameters such as technology type, application, operational conditions, system size, and location, considering the effect of cycling. </t>
  </si>
  <si>
    <t>Based on these user-defined scenarios, the tool calculates investment and operating costs, as well as the resulting levelized cost of storage (LCOS), enabling comparative assessments under different design and market assumptions.</t>
  </si>
  <si>
    <t>Instructions</t>
  </si>
  <si>
    <t>The purpose of this tool is to assist you in determining the cost-of-service of different storage technologies.</t>
  </si>
  <si>
    <t>This sheet provides step-by-step instruction on how to utilise it.</t>
  </si>
  <si>
    <t>Contact information:</t>
  </si>
  <si>
    <t>costs@irena.org</t>
  </si>
  <si>
    <t>Disclaimer</t>
  </si>
  <si>
    <t xml:space="preserve">This tool is based on data which were compiled from over 150 data sources, supplemented by expert interviews and analysis by IRENA of the latest battery developments. </t>
  </si>
  <si>
    <t xml:space="preserve">As a result, this data is a blend of different analytical approaches, including data from: installed projects, regulatory databases, installer surveys, individual projects, bottom-up engineering analyses and learning curve studies. </t>
  </si>
  <si>
    <t>Given the rapidly changing market place for electricity storage and the difficulty in always obtaining up-to-date data for each technology, the results should be treated with caution.</t>
  </si>
  <si>
    <t>The methodology of the calculations is explained in Tab "Methodology"</t>
  </si>
  <si>
    <t>Step 1</t>
  </si>
  <si>
    <t>Select the 'Cost of Service' sheet.</t>
  </si>
  <si>
    <t>Select the storage technology option that you wish to evaluate:</t>
  </si>
  <si>
    <t>Step 2</t>
  </si>
  <si>
    <t>Select the Power conversion unit to evaluate:</t>
  </si>
  <si>
    <t>Note:  After you have changed the energy storage unit choice the first time, you may need to adjust the power conversion unit choice again, from those available in the dropdown.</t>
  </si>
  <si>
    <t>Step 3</t>
  </si>
  <si>
    <t>Select the grid connection to evaluate:</t>
  </si>
  <si>
    <t>Note: You can also choose no grid connection to compare the technologies independent of the desired location</t>
  </si>
  <si>
    <t>Step 4</t>
  </si>
  <si>
    <t>Select the storage size to evaluate:</t>
  </si>
  <si>
    <t>Note: there is a suitability check if the storage size fits to your storage type. If not you can adjust your storage sizing</t>
  </si>
  <si>
    <t>Step 5</t>
  </si>
  <si>
    <t>Select the application type to evaluate:</t>
  </si>
  <si>
    <t xml:space="preserve">Note: The tool contains 18 predefined storage applications, which can be chosen from this dropdown menu. More information on each application is available in "Application" sheet. Parameters can be modified and new applications can be added by the user. </t>
  </si>
  <si>
    <t>To create new ones, also "Applications: Modifying parameters or creating new applications" section at the end of this sheet.</t>
  </si>
  <si>
    <t>Step 6</t>
  </si>
  <si>
    <t>If available, you can add additional information on local conditions:</t>
  </si>
  <si>
    <t>Note: The tool assumes the same value you input would apply for all cases in each period.</t>
  </si>
  <si>
    <t>Step 7</t>
  </si>
  <si>
    <t>The cyclic aging of the storage type is considered</t>
  </si>
  <si>
    <t>Note: Standard classifications for storages and the fatigue exponents are used in the tool. Id you want to igore it or if you have own fatigue experiences you can put in own values.</t>
  </si>
  <si>
    <t>Results: Key results</t>
  </si>
  <si>
    <t>The tool displays results for major calculation steps and also displays a summary of the results as shown below:</t>
  </si>
  <si>
    <t xml:space="preserve">Visualisation: Technology Development </t>
  </si>
  <si>
    <t>Select the 'Visualization' sheet.</t>
  </si>
  <si>
    <t>The tool contains charts to visualise the key results and provides a summarized table of cost-of-services estimates for the selected technology and application combination evaluated.</t>
  </si>
  <si>
    <t>Visualization: Technology Comparison</t>
  </si>
  <si>
    <t xml:space="preserve">The tool provides a section where you can store some of the runs of estimates that you have done and in this way compare different technology options. It also charts these so you can visualise them automatically. </t>
  </si>
  <si>
    <t>Applications: Modifying parameters or creating new applications</t>
  </si>
  <si>
    <t xml:space="preserve">In the 'Applications' sheet, the tool provides a section where you can modify the 18 predefined storage applications altering their key parameters. You also have the option to define your own applications defining them by these parameters. </t>
  </si>
  <si>
    <t>If you add additional applications to the 'Applications' sheet, they will appear as an option in the 'Cost-of-Service' sheet (see Step 3 of these instructions).</t>
  </si>
  <si>
    <t xml:space="preserve"> </t>
  </si>
  <si>
    <t>Energy Storage Unit</t>
  </si>
  <si>
    <t>Choose ---&gt;</t>
  </si>
  <si>
    <t>Pumped Hydro</t>
  </si>
  <si>
    <t>E/P ratio limitation</t>
  </si>
  <si>
    <t>Power Conversion Unit</t>
  </si>
  <si>
    <t>Inverter large</t>
  </si>
  <si>
    <t>Grid Connection</t>
  </si>
  <si>
    <t>Low Voltage Grid</t>
  </si>
  <si>
    <t>best</t>
  </si>
  <si>
    <t>worst</t>
  </si>
  <si>
    <t>reference</t>
  </si>
  <si>
    <t>unit</t>
  </si>
  <si>
    <t>Connection Costs</t>
  </si>
  <si>
    <t>USD / kW</t>
  </si>
  <si>
    <t>Equipment Costs</t>
  </si>
  <si>
    <t>Lifetime</t>
  </si>
  <si>
    <t>a</t>
  </si>
  <si>
    <t>Round-trip efficiency</t>
  </si>
  <si>
    <t>%</t>
  </si>
  <si>
    <t>Storage Size</t>
  </si>
  <si>
    <t>typical PHS</t>
  </si>
  <si>
    <t>Power</t>
  </si>
  <si>
    <t>kW</t>
  </si>
  <si>
    <t>Energy</t>
  </si>
  <si>
    <t>kWh</t>
  </si>
  <si>
    <t>E/P Ratio</t>
  </si>
  <si>
    <t>h</t>
  </si>
  <si>
    <t>Suitability of Storage</t>
  </si>
  <si>
    <t>Suitability Check</t>
  </si>
  <si>
    <t>Application</t>
  </si>
  <si>
    <t>Increase Power Quality</t>
  </si>
  <si>
    <t>required Power (bid size)</t>
  </si>
  <si>
    <t>required energy</t>
  </si>
  <si>
    <t>Depth of discharge</t>
  </si>
  <si>
    <t>Cycles per day</t>
  </si>
  <si>
    <t>-</t>
  </si>
  <si>
    <t>Type</t>
  </si>
  <si>
    <t>Electricity price [UScents / kWh]</t>
  </si>
  <si>
    <t>US</t>
  </si>
  <si>
    <t>Country-specific data</t>
  </si>
  <si>
    <t>Choose --&gt;</t>
  </si>
  <si>
    <t>Put additional data here if available</t>
  </si>
  <si>
    <t>Maintenance storage system</t>
  </si>
  <si>
    <t>% of invest per year</t>
  </si>
  <si>
    <t>Maintenance power conversion unit</t>
  </si>
  <si>
    <t>Maintenance grid connection</t>
  </si>
  <si>
    <t>Interest rate</t>
  </si>
  <si>
    <t>Other fixed costs (upfront)</t>
  </si>
  <si>
    <t>USD</t>
  </si>
  <si>
    <t>Other fixed costs (yearly)</t>
  </si>
  <si>
    <t>USD per year</t>
  </si>
  <si>
    <t>Cyclic Aging Coefficient</t>
  </si>
  <si>
    <t>Storage Type</t>
  </si>
  <si>
    <t>Fatigue Exponent</t>
  </si>
  <si>
    <t>FadeFactor</t>
  </si>
  <si>
    <t>Own Fatigue Exponent (use 1 for non use)</t>
  </si>
  <si>
    <t>equivalent full cycles</t>
  </si>
  <si>
    <t>equivalent full-cycles</t>
  </si>
  <si>
    <t>Calculations</t>
  </si>
  <si>
    <t>Installed Storage Power</t>
  </si>
  <si>
    <t>Usable Storage Power (Application)</t>
  </si>
  <si>
    <t>Installed Storage Capacity</t>
  </si>
  <si>
    <t>Usable Storage Capacity (technical)</t>
  </si>
  <si>
    <t>Usable Storage Capacity (Application)</t>
  </si>
  <si>
    <t>Lifetime in application</t>
  </si>
  <si>
    <t>Total Storage Invest</t>
  </si>
  <si>
    <t>Annuities Energy Storage Unit</t>
  </si>
  <si>
    <t>Installed Conversion Power</t>
  </si>
  <si>
    <t>Total Conversion Invest</t>
  </si>
  <si>
    <t>Annuities Power Conversion Unit</t>
  </si>
  <si>
    <t>Installed Grid Capacity</t>
  </si>
  <si>
    <t>Total Grid Connection Invest</t>
  </si>
  <si>
    <t>Annuities Grid Connection</t>
  </si>
  <si>
    <t>Total Invest</t>
  </si>
  <si>
    <t>Energy Storage + Power Conversion + Grid Connection</t>
  </si>
  <si>
    <t>Total Invest per usable kWh storage</t>
  </si>
  <si>
    <t>Energy losses</t>
  </si>
  <si>
    <t>Energy throughput per year (only one direction)</t>
  </si>
  <si>
    <t>Total Round-Trip-Efficiency</t>
  </si>
  <si>
    <t>Efficiency losses per year [kWh]</t>
  </si>
  <si>
    <t>Efficiency losses per year [USD]</t>
  </si>
  <si>
    <t>Self-discharge losses per year [kWh]</t>
  </si>
  <si>
    <t>Self-discharge losses per year [USD]</t>
  </si>
  <si>
    <t>Annuities</t>
  </si>
  <si>
    <t>Annuities Invest</t>
  </si>
  <si>
    <t>Capital</t>
  </si>
  <si>
    <t>Financing</t>
  </si>
  <si>
    <t>Maintenance</t>
  </si>
  <si>
    <t>Efficiency losses</t>
  </si>
  <si>
    <t>Self-discharge</t>
  </si>
  <si>
    <t>Sum</t>
  </si>
  <si>
    <t>Key Results</t>
  </si>
  <si>
    <t>Levelised Cost-of-Service</t>
  </si>
  <si>
    <t>Results --&gt;</t>
  </si>
  <si>
    <t>Cost of 1 kW Storage System per year [USD]</t>
  </si>
  <si>
    <t>Cost of 1 kWh stored electricity   [USDct]</t>
  </si>
  <si>
    <t>USDct</t>
  </si>
  <si>
    <t>Suitable:</t>
  </si>
  <si>
    <t>Validity check:</t>
  </si>
  <si>
    <t>Technology Comparison</t>
  </si>
  <si>
    <t>Electricity</t>
  </si>
  <si>
    <t>Unit</t>
  </si>
  <si>
    <t>USD cents per kWh</t>
  </si>
  <si>
    <t>CAES</t>
  </si>
  <si>
    <t>Vanadium Flow</t>
  </si>
  <si>
    <t>Li-Ion (LFP)</t>
  </si>
  <si>
    <t>SIB (Layered oxide)</t>
  </si>
  <si>
    <t>Copy results into table</t>
  </si>
  <si>
    <t>Technology Development</t>
  </si>
  <si>
    <t>Best</t>
  </si>
  <si>
    <t>Worst</t>
  </si>
  <si>
    <t>Reference</t>
  </si>
  <si>
    <t>[$/kVA]</t>
  </si>
  <si>
    <t>[a]</t>
  </si>
  <si>
    <t>[%]</t>
  </si>
  <si>
    <t>Comment</t>
  </si>
  <si>
    <t>German grid, without "Baukostenzuschuss"</t>
  </si>
  <si>
    <t xml:space="preserve">Medium Voltage no transformer </t>
  </si>
  <si>
    <t>Medium Voltage incl. transformer</t>
  </si>
  <si>
    <t>High Voltage incl. transformer</t>
  </si>
  <si>
    <t>High Voltage incl. Transformer &amp; substation</t>
  </si>
  <si>
    <t>no grid connection necessary</t>
  </si>
  <si>
    <t>Put more Grid Connection Options here</t>
  </si>
  <si>
    <t>[kW]</t>
  </si>
  <si>
    <t>[kWh]</t>
  </si>
  <si>
    <t>[kWh/kW]</t>
  </si>
  <si>
    <t>typical 2h battery storage</t>
  </si>
  <si>
    <t>Use green fields to put in data of your own Storage</t>
  </si>
  <si>
    <t>typical battery storage for FCR</t>
  </si>
  <si>
    <t>5MW design comparable to WEMAG or M5BAT</t>
  </si>
  <si>
    <t>Largest PHS in Germany: Goldisthal, operational since 1991</t>
  </si>
  <si>
    <t>typical CAES</t>
  </si>
  <si>
    <t>Energy Storage No. 1, Largest CAES, Hubei Province, China</t>
  </si>
  <si>
    <t>typical self-consumtion</t>
  </si>
  <si>
    <t>typical community storage</t>
  </si>
  <si>
    <t>EnergyNeighbor research project</t>
  </si>
  <si>
    <t>typical storage for I&amp;C</t>
  </si>
  <si>
    <t>typical storage for Village electrification</t>
  </si>
  <si>
    <t>Small village in Columbia</t>
  </si>
  <si>
    <t xml:space="preserve">typical storage for Island grid </t>
  </si>
  <si>
    <t>Greek island Tilos: 2x 400 kWh ZEBRA battery used for RE integration</t>
  </si>
  <si>
    <t>Put more Storages here</t>
  </si>
  <si>
    <t>[N/day]</t>
  </si>
  <si>
    <t>[UScents/kWH]</t>
  </si>
  <si>
    <t>required power (bid size)</t>
  </si>
  <si>
    <t>Electricity price</t>
  </si>
  <si>
    <t>Level</t>
  </si>
  <si>
    <t>Reactive power provision</t>
  </si>
  <si>
    <t>Utility-scale grid support</t>
  </si>
  <si>
    <t>possible via STATCOM or BESS no market available. Theoretical possible with any storage</t>
  </si>
  <si>
    <t>Synthetic Inertia</t>
  </si>
  <si>
    <t>!!! Estimates !!! - There is no market available today. Bid sizes are likley --&gt; oriented on other markets</t>
  </si>
  <si>
    <t>Fast Frequency Response (FFR)</t>
  </si>
  <si>
    <t>!!! Estimates !!! --&gt; oriented on other markets</t>
  </si>
  <si>
    <t>Enhanced Frequency Respose (EFR)</t>
  </si>
  <si>
    <t>Frequency Containment Reserve (FCR)</t>
  </si>
  <si>
    <t>TSO Central Europe (GER), M5BAT Research</t>
  </si>
  <si>
    <t>automatic Frequency Restoration Reserve (aFRR)</t>
  </si>
  <si>
    <t>Spot Market Trading (arbitrage)</t>
  </si>
  <si>
    <t>EPEX SPOT</t>
  </si>
  <si>
    <t>FCR + arbitrage</t>
  </si>
  <si>
    <t>ISEA RWTH; !!! Estimates !!! --&gt; oriented on other markets and expertise</t>
  </si>
  <si>
    <t>aFRR + arbitrage</t>
  </si>
  <si>
    <t>FCR + aFRR + arbitrage</t>
  </si>
  <si>
    <t>Self-consumption (small residential)</t>
  </si>
  <si>
    <t>Behind-the-meter systems</t>
  </si>
  <si>
    <t>Typical PV Battery System in Germany (see Appendix of report)</t>
  </si>
  <si>
    <t>Community storage</t>
  </si>
  <si>
    <t>ISEA RWTH</t>
  </si>
  <si>
    <t>Peak shaving</t>
  </si>
  <si>
    <t>Time-of-use</t>
  </si>
  <si>
    <t>Nano Offgrid</t>
  </si>
  <si>
    <t>Off-grid aplications</t>
  </si>
  <si>
    <t>Small hut with 200W PV</t>
  </si>
  <si>
    <t>Village electrification</t>
  </si>
  <si>
    <t>Island grid</t>
  </si>
  <si>
    <t>Put more applications here</t>
  </si>
  <si>
    <t>The cyclical capabilities of the storage system are mapped by the Wöhler curve, so that a higher cyclical stability is assumed for smaller DODs. The decrease in capacity due to aging is not taken into account, as the entire capacity is not utilized with small DODs.</t>
  </si>
  <si>
    <t>Ermüdungsexponent b</t>
  </si>
  <si>
    <t>nom Cycles N_nom</t>
  </si>
  <si>
    <t>DOD in %</t>
  </si>
  <si>
    <t>Methodology</t>
  </si>
  <si>
    <t>Inverter small</t>
  </si>
  <si>
    <t>No Inverter</t>
  </si>
  <si>
    <t>Generator PHS</t>
  </si>
  <si>
    <t>Generator CAES</t>
  </si>
  <si>
    <t>Generator Flywheel</t>
  </si>
  <si>
    <t>Modular Multilevel Converter</t>
  </si>
  <si>
    <t>&lt;-- If new PCU technologies are added, reference them here</t>
  </si>
  <si>
    <t>Flywheel</t>
  </si>
  <si>
    <t>Flooded LA</t>
  </si>
  <si>
    <t>VRLA</t>
  </si>
  <si>
    <t>Li-Ion (NMC)</t>
  </si>
  <si>
    <t>Li-Ion (Titanate)</t>
  </si>
  <si>
    <t>NaNiCl</t>
  </si>
  <si>
    <t>NaS</t>
  </si>
  <si>
    <t>ZnBr Flow</t>
  </si>
  <si>
    <t>ZnBr (Zinc ion)</t>
  </si>
  <si>
    <t>&lt;-- If new storage technologies are added, reference them here</t>
  </si>
  <si>
    <t>US Dollar (USD) to Euro (EUR) conversion</t>
  </si>
  <si>
    <t>Euro (EUR) to US Dollar (USD) conversion</t>
  </si>
  <si>
    <t>Year</t>
  </si>
  <si>
    <t>Rate</t>
  </si>
  <si>
    <t>2025*</t>
  </si>
  <si>
    <t>Currency exchange rates for the Euro area as published in the European Central Bank (ECB) data portal: https://data.ecb.europa.eu/data/datasets/EXR/EXR.A.USD.EUR.SP00.A</t>
  </si>
  <si>
    <t>*Same as 2024</t>
  </si>
  <si>
    <t>Mechanical</t>
  </si>
  <si>
    <t>Energy density</t>
  </si>
  <si>
    <t>Wh/l</t>
  </si>
  <si>
    <t>Power density</t>
  </si>
  <si>
    <t>W/l</t>
  </si>
  <si>
    <t>Cycle life</t>
  </si>
  <si>
    <t>Calendar life</t>
  </si>
  <si>
    <t>% per day</t>
  </si>
  <si>
    <t>Power dynamic</t>
  </si>
  <si>
    <t>sec</t>
  </si>
  <si>
    <t>&lt; 0,004</t>
  </si>
  <si>
    <t>s to rated power</t>
  </si>
  <si>
    <t>Planning &amp; Construction Time</t>
  </si>
  <si>
    <t>Energy installation cost</t>
  </si>
  <si>
    <t>USD / kWh</t>
  </si>
  <si>
    <t>Power installation cost</t>
  </si>
  <si>
    <t>Lead-Acid</t>
  </si>
  <si>
    <t>Li-Ion</t>
  </si>
  <si>
    <t>NMC/LMO</t>
  </si>
  <si>
    <t>ref</t>
  </si>
  <si>
    <t>NCA</t>
  </si>
  <si>
    <t>LiFePo4</t>
  </si>
  <si>
    <t>Titanate</t>
  </si>
  <si>
    <t>High Temperature</t>
  </si>
  <si>
    <t>Flow</t>
  </si>
  <si>
    <t>Vanadium</t>
  </si>
  <si>
    <t>&lt; 1</t>
  </si>
  <si>
    <t>&lt; 0.001</t>
  </si>
  <si>
    <t>Inverter</t>
  </si>
  <si>
    <t>Zn/Br</t>
  </si>
  <si>
    <t>Small (1-30kW)</t>
  </si>
  <si>
    <t>Large (&gt;30kW)</t>
  </si>
  <si>
    <t>Sources</t>
  </si>
  <si>
    <t>Source 2016</t>
  </si>
  <si>
    <t>Source 2020</t>
  </si>
  <si>
    <t>Source 2025</t>
  </si>
  <si>
    <t>Source 2030</t>
  </si>
  <si>
    <t>combination</t>
  </si>
  <si>
    <t>E/P ratio (best)</t>
  </si>
  <si>
    <t>E/P ratio (worst)</t>
  </si>
  <si>
    <t>interpolated</t>
  </si>
  <si>
    <t>References</t>
  </si>
  <si>
    <t>extrapolated</t>
  </si>
  <si>
    <t>Number of Source</t>
  </si>
  <si>
    <t>Titel</t>
  </si>
  <si>
    <t>Authors</t>
  </si>
  <si>
    <t>Web</t>
  </si>
  <si>
    <t>Date</t>
  </si>
  <si>
    <t>not needed or not available</t>
  </si>
  <si>
    <t>Technology Overview on Electricity Storage</t>
  </si>
  <si>
    <t>Fuchs, Lunz, Leuthold, Sauer</t>
  </si>
  <si>
    <t>https://sei.info.yorku.ca/files/2013/03/Sauer2.pdf</t>
  </si>
  <si>
    <t>June 2012</t>
  </si>
  <si>
    <t>Agora Stromspeicher in der Energiewende</t>
  </si>
  <si>
    <t>Agora Energiewende</t>
  </si>
  <si>
    <t>https://www.agora-energiewende.de/fileadmin/Projekte/2013/speicher-in-der-energiewende/Agora_Speicherstudie_Web.pdf</t>
  </si>
  <si>
    <t>September 2014</t>
  </si>
  <si>
    <t>Energiesysteme der Zukunft - Technologiesteckbrief Energiespeicher</t>
  </si>
  <si>
    <t>Prof. Dr. Peter Elsner, Prof. Dr. Dirk Uwe Sauer</t>
  </si>
  <si>
    <t>http://www.acatech.de/fileadmin/user_upload/Baumstruktur_nach_Website/Acatech/root/de/Publikationen/Materialien/ESYS_Technologiesteckbrief_Energiespeicher.pdf</t>
  </si>
  <si>
    <t>November 2015</t>
  </si>
  <si>
    <t>Energy Storage Grand Challenge Cost and Performance Assessment 2022</t>
  </si>
  <si>
    <t>PNNL</t>
  </si>
  <si>
    <t xml:space="preserve">https://www.pnnl.gov/sites/default/files/media/file/ESGC%20Cost%20Performance%20Report%202022%20PNNL-33283.pdf </t>
  </si>
  <si>
    <t>August 2022</t>
  </si>
  <si>
    <t>Percental</t>
  </si>
  <si>
    <t>Interpolation</t>
  </si>
  <si>
    <t>Source 1</t>
  </si>
  <si>
    <t>X1</t>
  </si>
  <si>
    <t>X2</t>
  </si>
  <si>
    <t>SEFEP does not expect any improvement/cost reduction of Pumped Hydro</t>
  </si>
  <si>
    <t>Source 2</t>
  </si>
  <si>
    <t>Source 3</t>
  </si>
  <si>
    <t>Source 4</t>
  </si>
  <si>
    <t>Unlimited</t>
  </si>
  <si>
    <t>4 - 10</t>
  </si>
  <si>
    <t>Pumped Hydro (calc)</t>
  </si>
  <si>
    <t>E/P ratio limitation (best)</t>
  </si>
  <si>
    <t>3+5</t>
  </si>
  <si>
    <t>E/P ratio limitation (reference)</t>
  </si>
  <si>
    <t>E/P ratio limitation (worst)</t>
  </si>
  <si>
    <t>Technologie-Roadmap Stationäre Energiespeicher 2030</t>
  </si>
  <si>
    <t>Fraunhofer ISI</t>
  </si>
  <si>
    <t>https://www.isi.fraunhofer.de/content/dam/isi/dokumente/cct/lib/TRM-SES.pdf</t>
  </si>
  <si>
    <t>Dezember 2015</t>
  </si>
  <si>
    <t>World’s largest compressed air energy storage facility commences full operation in China</t>
  </si>
  <si>
    <t>PV Magazine</t>
  </si>
  <si>
    <t>https://www.pv-magazine.com/2025/01/10/worlds-largest-compressed-air-energy-storage-facility-commences-full-operation-in-china/</t>
  </si>
  <si>
    <t>January 2025</t>
  </si>
  <si>
    <t>4 - 6</t>
  </si>
  <si>
    <t>1/h</t>
  </si>
  <si>
    <t>Source 5</t>
  </si>
  <si>
    <t>CAES (calc)</t>
  </si>
  <si>
    <t>Note: As no reliable data could be found, a simple estimation of 3% annual performance increase / price decrease was used as a reference. For the round-trip efficiency, an increase of 1 percent point per period was assumed.</t>
  </si>
  <si>
    <t>Internal File</t>
  </si>
  <si>
    <t>Flywheel (calc)</t>
  </si>
  <si>
    <t>ref 2016</t>
  </si>
  <si>
    <t>Combination</t>
  </si>
  <si>
    <t>ISEA</t>
  </si>
  <si>
    <t>lead-acid batteries</t>
  </si>
  <si>
    <t>Batteriespeicher in der Nieder- und Mittelspannungsebene</t>
  </si>
  <si>
    <t>VDE</t>
  </si>
  <si>
    <t>http://www.speicherinitiative.at/assets/Uploads/03-Batterienspeicher.pdf</t>
  </si>
  <si>
    <t>Mai 2015</t>
  </si>
  <si>
    <t>Battery Storage for Renewables: Market Status and Technology Outlook</t>
  </si>
  <si>
    <t>Ruud Kempener (IRENA) and Eric Borden</t>
  </si>
  <si>
    <t>http://www.irena.org/documentdownloads/publications/irena_battery_storage_report_2015.pdf</t>
  </si>
  <si>
    <t>January 2015</t>
  </si>
  <si>
    <t>advanced lead-acid</t>
  </si>
  <si>
    <t>Analyse und Optimierung der Zuverlässigkeit und Effizienz von hybriden Batteriespeichern am Beispiel von M5BAT</t>
  </si>
  <si>
    <t>Koltermann</t>
  </si>
  <si>
    <t>https://publications.rwth-aachen.de/record/1015017/files/1015017.pdf</t>
  </si>
  <si>
    <t>February 2025</t>
  </si>
  <si>
    <t>Source 6</t>
  </si>
  <si>
    <t>Source 7</t>
  </si>
  <si>
    <t>E/P ratio</t>
  </si>
  <si>
    <t>&gt; 1</t>
  </si>
  <si>
    <t>Flooded LA (calc)</t>
  </si>
  <si>
    <t>LA</t>
  </si>
  <si>
    <t>http://www.speicherinitiative.at/assets/Uploads/19-AgoraEnergiewende-Speicherstudie-Langfassung.pdf</t>
  </si>
  <si>
    <t>VRLA (calc)</t>
  </si>
  <si>
    <t>11+12</t>
  </si>
  <si>
    <t>lithium-ion batteries</t>
  </si>
  <si>
    <t>https://www.vde.com/resource/blob/2319156/adacf7890ac200902769bf38f742d9fb/vde-studie-batteriespeicher-in-der-nieder-und-mittelspannungsebene-data.pdf</t>
  </si>
  <si>
    <t>https://energiesysteme-zukunft.de/fileadmin/user_upload/Publikationen/PDFs/ESYS_Technologiesteckbrief_Energiespeicher.pdf</t>
  </si>
  <si>
    <t>NMC</t>
  </si>
  <si>
    <t>The Technical Advantages of Lithium Titanate (LTO) Cells for Enhanced Energy Efficiency</t>
  </si>
  <si>
    <t>https://www.global-batteries.com/the-technical-advantages-of-lithium-titanate-lto-cells-for-enhanced-energy-efficiency</t>
  </si>
  <si>
    <t>April 2025</t>
  </si>
  <si>
    <t>What are the advantages of lithium titanate batteries?</t>
  </si>
  <si>
    <t>https://www.youth-battery.com/what-are-the-advantages-of-lithium-titanate-batteries/</t>
  </si>
  <si>
    <t>Batteries for electric cars: Sodium cells on the advance?</t>
  </si>
  <si>
    <t>Christoph M. Schwarzer</t>
  </si>
  <si>
    <t>https://www.heise.de/hintergrund/Batteries-for-electric-cars-Sodium-cells-on-the-advance-9193645.html</t>
  </si>
  <si>
    <t>June 2023</t>
  </si>
  <si>
    <t>Industrial batteries. Chapter 3 (PART 2/2). Lithium-Ion battery types</t>
  </si>
  <si>
    <t>https://norwatt.es/noticia-industrial-batteries--chapter-3-part-2-2--lithium-ion-battery-types-es.html</t>
  </si>
  <si>
    <t>June 2020</t>
  </si>
  <si>
    <t>A Formulation Model to Compute the Life Cycle Environmental Impact of NiZn Batteries from Cradle to Grave</t>
  </si>
  <si>
    <t>Ashwani Kumar Malviya, Mehdi Zarehparast Malekzadeh, Jinping Li, Boyang Li, Francisco Enrique Santarremigia, Gemma Dolores Molero, Ignacio Villalba Sanchis, Víctor Yepes</t>
  </si>
  <si>
    <t>https://www.mdpi.com/1996-1073/17/11/2751</t>
  </si>
  <si>
    <t>2024</t>
  </si>
  <si>
    <t>Cost modeling for the GWh-scale production of modern lithium-ion battery cells</t>
  </si>
  <si>
    <t>Lechner, Maximilian et al.</t>
  </si>
  <si>
    <t>https://www.nature.com/articles/s44172-024-00306-0</t>
  </si>
  <si>
    <t>BNEF energy storage outlook 2023</t>
  </si>
  <si>
    <t>BNEF</t>
  </si>
  <si>
    <t>https://about.bnef.com/</t>
  </si>
  <si>
    <t>2023</t>
  </si>
  <si>
    <t>LFP</t>
  </si>
  <si>
    <t>Used as a reference to seperate cell from system costs (see calculation in supporting documentation)</t>
  </si>
  <si>
    <t>Lithium-Ion Battery Roadmap – Industrialization Perspectives Toward 2030</t>
  </si>
  <si>
    <t>https://www.isi.fraunhofer.de/content/dam/isi/dokumente/cct/2023/Fraunhofer-ISI_LIB-Roadmap-2023.pdf</t>
  </si>
  <si>
    <t>December 2023</t>
  </si>
  <si>
    <t>Source 8</t>
  </si>
  <si>
    <t>Source 9</t>
  </si>
  <si>
    <t>&gt;10</t>
  </si>
  <si>
    <t>Source 10</t>
  </si>
  <si>
    <t>Source 11+12</t>
  </si>
  <si>
    <t>Source 13</t>
  </si>
  <si>
    <t>0.33 - 1</t>
  </si>
  <si>
    <t>Li-Ion (NMC) (calc)</t>
  </si>
  <si>
    <t>16+17</t>
  </si>
  <si>
    <t>The Unmatched Advantages of Lithium Iron Phosphate (LFP) Batteries‌</t>
  </si>
  <si>
    <t>https://lanpwr.com/blogs/news/the-unmatched-advantages-of-lithium-iron-phosphate-lfp-batteries</t>
  </si>
  <si>
    <t>May 2025</t>
  </si>
  <si>
    <t>Lithium Ferro Phosphate (LFP) Battery Technology</t>
  </si>
  <si>
    <t>Usman Noor</t>
  </si>
  <si>
    <t>https://8msolar.com/lithium-ferro-phosphate-lfp-battery-technology</t>
  </si>
  <si>
    <t>July 2025</t>
  </si>
  <si>
    <t>How Long Do Lithium Iron Phosphate (LiFePO4) Batteries Last?</t>
  </si>
  <si>
    <t>Victoria Chen-Englert</t>
  </si>
  <si>
    <t>https://www.qurator.com/blog/how-long-do-lithium-iron-phosphate-batteries-last</t>
  </si>
  <si>
    <t>February 2024</t>
  </si>
  <si>
    <t>Electricity Storage and Renewables: Costs and Markets to 2030</t>
  </si>
  <si>
    <t>IRENA</t>
  </si>
  <si>
    <t>https://www.irena.org/-/media/Files/IRENA/Agency/Publication/2017/Oct/IRENA_Electricity_Storage_Costs_2017.pdf</t>
  </si>
  <si>
    <t>October 2017</t>
  </si>
  <si>
    <t>Lithium-Ion Battery Pack Prices See Largest Drop Since 2017, Falling to $115 per Kilowatt-Hour: BloombergNEF</t>
  </si>
  <si>
    <t>BloombergNEF</t>
  </si>
  <si>
    <t>https://about.bnef.com/insights/commodities/lithium-ion-battery-pack-prices-see-largest-drop-since-2017-falling-to-115-per-kilowatt-hour-bloombergnef/</t>
  </si>
  <si>
    <t>December 2024</t>
  </si>
  <si>
    <t>Cost Projections for Utility-Scale
Battery Storage: 2023 Update</t>
  </si>
  <si>
    <t>National Renewable Energy Laboratory (Cole, Karmakar)</t>
  </si>
  <si>
    <t>https://docs.nrel.gov/docs/fy23osti/85332.pdf</t>
  </si>
  <si>
    <t>Findings from Storage Innovations 2030
Lithium-ion Batteries</t>
  </si>
  <si>
    <t>U.S. DoE (Dufek, Durvasulu, Mosier, Balliet, Willey, Bakhtian)</t>
  </si>
  <si>
    <t>https://www.energy.gov/sites/default/files/2023-09/2_Technology%20Strategy%20Assessment%20-%202%20Lithium-ion_508.pdf</t>
  </si>
  <si>
    <t>July 2023</t>
  </si>
  <si>
    <t>Utility-Scale Battery Storage</t>
  </si>
  <si>
    <t>NREL</t>
  </si>
  <si>
    <t>https://atb.nrel.gov/electricity/2024/utility-scale_battery_storage</t>
  </si>
  <si>
    <t>A comprehensive review on the techno-economic analysis of electrochemical energy storage systems: Technologies, applications, benefits and trends</t>
  </si>
  <si>
    <t>Huang, Zeng, Lashari, Xie</t>
  </si>
  <si>
    <t>https://www.sciencedirect.com/science/article/pii/S2950264025000103#bib66</t>
  </si>
  <si>
    <t>EIA</t>
  </si>
  <si>
    <t>eia.gov/analysis/studies/powerplants/capitalcost/pdf/capital_cost_AEO2025.pdf</t>
  </si>
  <si>
    <t>li ion</t>
  </si>
  <si>
    <t>Energy Storage Market Outlook 2023</t>
  </si>
  <si>
    <t>https://www.linkedin.com/posts/adamerkienok_bess-pv-activity-7192498064488599554-IMse/</t>
  </si>
  <si>
    <t xml:space="preserve">lithium ion </t>
  </si>
  <si>
    <t>Critically assessing sodium-ion
technology roadmaps and scenarios for
techno-economic competitiveness against
lithium-ion batteries</t>
  </si>
  <si>
    <t>Yao, Benson, Chueh</t>
  </si>
  <si>
    <t>https://www.nature.com/articles/s41560-024-01701-9.pdf</t>
  </si>
  <si>
    <t>notes</t>
  </si>
  <si>
    <t>battery pack price 2024</t>
  </si>
  <si>
    <t>Source 11</t>
  </si>
  <si>
    <t>245-403</t>
  </si>
  <si>
    <t>4-hour Storage costs</t>
  </si>
  <si>
    <t>Source 12</t>
  </si>
  <si>
    <t>Source 14</t>
  </si>
  <si>
    <t>400-1300</t>
  </si>
  <si>
    <t>1000–5000</t>
  </si>
  <si>
    <t>85-95</t>
  </si>
  <si>
    <t>Source 15</t>
  </si>
  <si>
    <t>Source 16+17</t>
  </si>
  <si>
    <t>Source 18</t>
  </si>
  <si>
    <t>Li-Ion (LFP) (calc)</t>
  </si>
  <si>
    <t>9+10</t>
  </si>
  <si>
    <t>https://www.global-batteries.com/the-technical-advantages-of-lithium-titanate-lto-cells-for-enhanced-energy-efficiency/</t>
  </si>
  <si>
    <t>https://www.youth-battery.com/what-are-the-advantages-of-lithium-titanate-batteries</t>
  </si>
  <si>
    <t>Lithium-titanate batteries: Everything you need to know</t>
  </si>
  <si>
    <t>Ana Lejtman</t>
  </si>
  <si>
    <t>https://climatebiz.com/lithium-titanate-batteries</t>
  </si>
  <si>
    <t>December 2022</t>
  </si>
  <si>
    <t>State-of-charge estimator design and experimental verification for a lithium-titanate battery cell</t>
  </si>
  <si>
    <t>Pavkovic, Danijel</t>
  </si>
  <si>
    <t>https://link.springer.com/article/10.1007/s10098-024-02894-z</t>
  </si>
  <si>
    <t>May 2024</t>
  </si>
  <si>
    <t>Source 9+10</t>
  </si>
  <si>
    <t>Li-Ion (Titanate) (calc)</t>
  </si>
  <si>
    <t>2025 - low</t>
  </si>
  <si>
    <t>2025 - high</t>
  </si>
  <si>
    <t>Source 2025 (low)</t>
  </si>
  <si>
    <t>Source 2025 (high)</t>
  </si>
  <si>
    <t>assumption based on 6</t>
  </si>
  <si>
    <t>Critically assessing sodium-ion technology roadmaps and scenarios for techno-economic competitiveness against lithium-ion batteries</t>
  </si>
  <si>
    <t>June 2024</t>
  </si>
  <si>
    <t>sodium-ion batteries</t>
  </si>
  <si>
    <t>Techno-economics Analysis on Sodium-Ion Batteries: Overview and Prospective</t>
  </si>
  <si>
    <t>Marco Ferraro, Giovanni Tumminia</t>
  </si>
  <si>
    <t>https://link.springer.com/chapter/10.1007/978-3-031-48359-2_14</t>
  </si>
  <si>
    <t>Improvement of cycle life for layered oxide cathodes in sodium-ion batteries</t>
  </si>
  <si>
    <t>Huan Yang, Dong Wang, Yalan Liu, Yihua Liu, Benhe Zhong, Yang Song, Qingquan Kong, Zhenguo Wu, Xiaodong Guo</t>
  </si>
  <si>
    <t>https://pubs.rsc.org/en/content/articlelanding/2024/ee/d3ee02934d</t>
  </si>
  <si>
    <t>High-Energy, High-Power Sodium-Ion Batteries from a Layered Organic Cathode</t>
  </si>
  <si>
    <t>Tianyang Chen, Jiande Wang, Bowen Tan, Kimberly J. Zhang, Harish Banda, Yugang Zhang, Dong-Ha Kim, Mircea Dincă</t>
  </si>
  <si>
    <t>https://pubs.acs.org/doi/10.1021/jacs.4c17713</t>
  </si>
  <si>
    <t>2021 roadmap for sodium-ion batteries</t>
  </si>
  <si>
    <t>Nuria Tapia-Ruiz, A Robert Armstrong, Hande Alptekin, Marco A Amores, Heather Au, Jerry Barker, Rebecca Boston, William R Brant, Jake M Brittain, Yue Chen, Manish Chhowalla, Yong-Seok Choi, Sara I R Costa, Maria Crespo Ribadeneyra, Serena A Cussen, Edmund J Cussen, William I F David, Aamod V Desai, Stewart A M Dickson, Emmanuel I Eweka, Juan D Forero-Saboya, Clare P Grey, John M Griffin, Peter Gross, Xiao Hua, John T S Irvine, Patrik Johansson, Martin O Jones, Martin Karlsmo, Emma Kendrick, Eunjeong Kim, Oleg V Kolosov, Zhuangnan Li, Stijn F L Mertens, Ronnie Mogensen, Laure Monconduit, Russell E Morris, Andrew J Naylor, Shahin Nikman, Christopher A O’Keefe, Darren M C Ould, R G Palgrave, Philippe Poizot, Alexandre Ponrouch, Stéven Renault, Emily M Reynolds, Ashish Rudola, Ruth Sayers, David O Scanlon, S Sen, Valerie R Seymour, Begoña Silván, Moulay Tahar Sougrati, Lorenzo Stievano, Grant S Stone, Chris I Thomas, Maria-Magdalena Titirici, Jincheng Tong, Thomas J Wood, Dominic S Wright and Reza Younesi</t>
  </si>
  <si>
    <t>https://iopscience.iop.org/article/10.1088/2515-7655/ac01ef</t>
  </si>
  <si>
    <t>July 2021</t>
  </si>
  <si>
    <t>Alternative Battery Technologies Roadmap 2030+</t>
  </si>
  <si>
    <t>https://www.isi.fraunhofer.de/content/dam/isi/dokumente/cct/2023/abt-roadmap.pdf</t>
  </si>
  <si>
    <t>September 2023</t>
  </si>
  <si>
    <t>200-300</t>
  </si>
  <si>
    <t>&gt;300</t>
  </si>
  <si>
    <t>&gt;15</t>
  </si>
  <si>
    <t>&gt;90</t>
  </si>
  <si>
    <t>&gt;95</t>
  </si>
  <si>
    <t>&gt;0.25</t>
  </si>
  <si>
    <t>SIB (Layered oxide) (calc)</t>
  </si>
  <si>
    <t>2025 (low)</t>
  </si>
  <si>
    <t>2025 ( high)</t>
  </si>
  <si>
    <t>same as 2025 high</t>
  </si>
  <si>
    <t>average from range in 5</t>
  </si>
  <si>
    <t>137 Year Old Battery Tech May Be The Future of Energy Storage</t>
  </si>
  <si>
    <t>Matt Ferrell, Sunny Natividad </t>
  </si>
  <si>
    <t>https://undecidedmf.com/137-year-old-battery-tech-may-be-the-future-of-energy-storage</t>
  </si>
  <si>
    <t>zinc-ion</t>
  </si>
  <si>
    <t>Charge less, power more: Zinc-bromine battery tech hits record 10,000 charge cycles</t>
  </si>
  <si>
    <t>Sujita Sinha</t>
  </si>
  <si>
    <t>https://interestingengineering.com/energy/novel-electrode-for-improving-flowless-zinc-bromine-battery</t>
  </si>
  <si>
    <t>July 2024</t>
  </si>
  <si>
    <t>New zinc-ion battery with longer lifespan</t>
  </si>
  <si>
    <t>Tage Erikson</t>
  </si>
  <si>
    <t>https://www.bestmag.co.uk/new-zinc-ion-battery-with-longer-lifespan/</t>
  </si>
  <si>
    <t>June 2025</t>
  </si>
  <si>
    <t>Eos Z3</t>
  </si>
  <si>
    <t>https://www.eose.com/wp-content/uploads/2023/05/eos_productsheet_Z3_050223.pdf</t>
  </si>
  <si>
    <t>May 2023</t>
  </si>
  <si>
    <t>Open challenges and good experimental practices in the research field of aqueous Zn-ion batteries</t>
  </si>
  <si>
    <t>La Mantia</t>
  </si>
  <si>
    <t>nature.com/articles/s41467-022-28381-x.pdf?utm_source=scopus&amp;getft_integrator=scopus#page=1.88</t>
  </si>
  <si>
    <t>2022</t>
  </si>
  <si>
    <t>Reassessing the Commercialization of Aqueous Zinc-Ion Batteries Based on Laboratory Achievements</t>
  </si>
  <si>
    <t>Jian et al.</t>
  </si>
  <si>
    <t>Reassessing the Commercialization of Aqueous Zinc-Ion Batteries Based on Laboratory Achievements | ACS Applied Energy Materials</t>
  </si>
  <si>
    <t>2025</t>
  </si>
  <si>
    <t>Zinc-ion batteries for stationary energy storage</t>
  </si>
  <si>
    <t>Gourley et al.</t>
  </si>
  <si>
    <t>Zinc-ion batteries for stationary energy storage - ScienceDirect</t>
  </si>
  <si>
    <t>Energy Density</t>
  </si>
  <si>
    <t>40-100</t>
  </si>
  <si>
    <t>80-200</t>
  </si>
  <si>
    <t>&gt;80</t>
  </si>
  <si>
    <t>&lt;100</t>
  </si>
  <si>
    <t>35-60</t>
  </si>
  <si>
    <t>ZnBr (Zinc ion) (calc)</t>
  </si>
  <si>
    <t>Data</t>
  </si>
  <si>
    <t>NaS/NaCl</t>
  </si>
  <si>
    <t>sodium metal halide</t>
  </si>
  <si>
    <t>NaNiCl (calc)</t>
  </si>
  <si>
    <t>High temperature batteries (NaS)</t>
  </si>
  <si>
    <t>sodium sulphur batteries</t>
  </si>
  <si>
    <t>sodium sulphur</t>
  </si>
  <si>
    <t>&gt;7000</t>
  </si>
  <si>
    <t>70-80</t>
  </si>
  <si>
    <t>NaS (calc)</t>
  </si>
  <si>
    <t>Depth of discharge (worst)</t>
  </si>
  <si>
    <t>Max. C-rate (best)</t>
  </si>
  <si>
    <t>Max. C-rate (worst)</t>
  </si>
  <si>
    <t>flow batteries</t>
  </si>
  <si>
    <t>redox flow batteries</t>
  </si>
  <si>
    <t>vanadium flow</t>
  </si>
  <si>
    <t>Techno-economic analysis of Aqueous Organic Redox Flow Batteries: Stochastic investigation of capital cost and levelized cost of storage</t>
  </si>
  <si>
    <t>Cremoncini, Diana et al.</t>
  </si>
  <si>
    <t>https://www.sciencedirect.com/science/article/pii/S0306261924001211/pdfft?md5=a80ff369138f4b0030c3945fb040e611&amp;pid=1-s2.0-S0306261924001211-main.pdf</t>
  </si>
  <si>
    <t>April 2024</t>
  </si>
  <si>
    <t>&gt;10000</t>
  </si>
  <si>
    <t>60-90</t>
  </si>
  <si>
    <t>5 - 10</t>
  </si>
  <si>
    <t>Vanadium Flow (calc)</t>
  </si>
  <si>
    <t>Zn/Br Flow</t>
  </si>
  <si>
    <t>ZnBr Flow (calc)</t>
  </si>
  <si>
    <t>specific size</t>
  </si>
  <si>
    <t>Expert Guess ISEA</t>
  </si>
  <si>
    <t>October 2014</t>
  </si>
  <si>
    <t>no</t>
  </si>
  <si>
    <t>"stationary systems"</t>
  </si>
  <si>
    <t>ISEA estimation</t>
  </si>
  <si>
    <t>2015</t>
  </si>
  <si>
    <t>home storage systems</t>
  </si>
  <si>
    <t>Inverter small (calc)</t>
  </si>
  <si>
    <t>Inverter large (calc)</t>
  </si>
  <si>
    <t>No inverter</t>
  </si>
  <si>
    <t>Please note: Only change the Calendar life in this sheet - all other values are references and need to stay that way.</t>
  </si>
  <si>
    <t>2016 (no values available)</t>
  </si>
  <si>
    <t>Inserted Values are estimations based on:</t>
  </si>
  <si>
    <t>https://cdn.misoenergy.org/20240131%20PSC%20Item%2005%20Transmission%20Cost%20Estimation%20Guide%20for%20MTEP24%20-%20Redline631529.pdf</t>
  </si>
  <si>
    <t>https://cdn.misoenergy.org/20230531%20PAC%20Item%2008b%20MP%20RBJ%20Presentation629028.pdf</t>
  </si>
  <si>
    <t>https://stabl.com/wp-content/uploads/2021/04/2021-White-Paper-MMC-DE-2.pdf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</si>
</sst>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
    <numFmt numFmtId="164" formatCode="#,##0\ &quot;€&quot;;[Red]\-#,##0\ &quot;€&quot;"/>
    <numFmt numFmtId="165" formatCode="_-* #,##0\ _€_-;\-* #,##0\ _€_-;_-* &quot;-&quot;\ _€_-;_-@_-"/>
    <numFmt numFmtId="166" formatCode="_-* #,##0.00\ _€_-;\-* #,##0.00\ _€_-;_-* &quot;-&quot;??\ _€_-;_-@_-"/>
    <numFmt numFmtId="167" formatCode="#,##0.00_ ;\-#,##0.00\ "/>
    <numFmt numFmtId="168" formatCode="#,##0_ ;\-#,##0\ "/>
    <numFmt numFmtId="169" formatCode="#,##0_ ;[Red]\-#,##0\ "/>
    <numFmt numFmtId="170" formatCode="0.000"/>
    <numFmt numFmtId="171" formatCode="0.0"/>
    <numFmt numFmtId="172" formatCode="#,##0\ &quot;€&quot;"/>
    <numFmt numFmtId="173" formatCode="#,##0.0"/>
    <numFmt numFmtId="174" formatCode="#,##0.0_ ;\-#,##0.0\ "/>
  </numFmts>
  <fonts count="30" x14ac:knownFonts="1">
    <font>
      <sz val="11"/>
      <color theme="1"/>
      <name val="Calibri"/>
      <family val="2"/>
      <scheme val="minor"/>
    </font>
    <font>
      <sz val="11"/>
      <color theme="1"/>
      <name val="arial"/>
      <family val="2"/>
    </font>
    <font>
      <sz val="11"/>
      <color theme="1"/>
      <name val="arial"/>
      <family val="2"/>
    </font>
    <font>
      <b/>
      <sz val="11"/>
      <color theme="0"/>
      <name val="Calibri"/>
      <family val="2"/>
      <scheme val="minor"/>
    </font>
    <font>
      <b/>
      <sz val="11"/>
      <color theme="1"/>
      <name val="Calibri"/>
      <family val="2"/>
      <scheme val="minor"/>
    </font>
    <font>
      <i/>
      <sz val="11"/>
      <color theme="1"/>
      <name val="Calibri"/>
      <family val="2"/>
      <scheme val="minor"/>
    </font>
    <font>
      <b/>
      <sz val="12"/>
      <color theme="0"/>
      <name val="Calibri"/>
      <family val="2"/>
      <scheme val="minor"/>
    </font>
    <font>
      <b/>
      <sz val="14"/>
      <color theme="1"/>
      <name val="Calibri"/>
      <family val="2"/>
      <scheme val="minor"/>
    </font>
    <font>
      <sz val="11"/>
      <color theme="1"/>
      <name val="Calibri"/>
      <family val="2"/>
      <scheme val="minor"/>
    </font>
    <font>
      <b/>
      <sz val="12"/>
      <color theme="1"/>
      <name val="Calibri"/>
      <family val="2"/>
      <scheme val="minor"/>
    </font>
    <font>
      <sz val="11"/>
      <name val="Calibri"/>
      <family val="2"/>
      <scheme val="minor"/>
    </font>
    <font>
      <b/>
      <sz val="11"/>
      <name val="Calibri"/>
      <family val="2"/>
      <scheme val="minor"/>
    </font>
    <font>
      <b/>
      <i/>
      <sz val="11"/>
      <color theme="1"/>
      <name val="Calibri"/>
      <family val="2"/>
      <scheme val="minor"/>
    </font>
    <font>
      <b/>
      <u/>
      <sz val="14"/>
      <color theme="1"/>
      <name val="Calibri"/>
      <family val="2"/>
      <scheme val="minor"/>
    </font>
    <font>
      <b/>
      <sz val="10"/>
      <color theme="1"/>
      <name val="Calibri"/>
      <family val="2"/>
      <scheme val="minor"/>
    </font>
    <font>
      <sz val="11"/>
      <color theme="0"/>
      <name val="Calibri"/>
      <family val="2"/>
      <scheme val="minor"/>
    </font>
    <font>
      <u/>
      <sz val="11"/>
      <color theme="10"/>
      <name val="Calibri"/>
      <family val="2"/>
      <scheme val="minor"/>
    </font>
    <font>
      <sz val="9"/>
      <color indexed="81"/>
      <name val="Segoe UI"/>
      <family val="2"/>
    </font>
    <font>
      <b/>
      <sz val="11"/>
      <color theme="1"/>
      <name val="arial"/>
      <family val="2"/>
    </font>
    <font>
      <b/>
      <i/>
      <sz val="11"/>
      <color theme="1"/>
      <name val="Arial"/>
      <family val="2"/>
    </font>
    <font>
      <b/>
      <sz val="9"/>
      <color indexed="81"/>
      <name val="Segoe UI"/>
      <family val="2"/>
    </font>
    <font>
      <sz val="11"/>
      <color rgb="FF000000"/>
      <name val="Calibri"/>
      <family val="2"/>
      <scheme val="minor"/>
    </font>
    <font>
      <sz val="8"/>
      <name val="Calibri"/>
      <family val="2"/>
      <scheme val="minor"/>
    </font>
    <font>
      <sz val="11"/>
      <color rgb="FFFF0000"/>
      <name val="Calibri"/>
      <family val="2"/>
      <scheme val="minor"/>
    </font>
    <font>
      <b/>
      <sz val="11"/>
      <color rgb="FFFF0000"/>
      <name val="Calibri"/>
      <family val="2"/>
      <scheme val="minor"/>
    </font>
    <font>
      <sz val="26"/>
      <color rgb="FF0070C0"/>
      <name val="Calibri"/>
      <family val="2"/>
      <scheme val="minor"/>
    </font>
    <font>
      <sz val="14"/>
      <color rgb="FF000000"/>
      <name val="Calibri"/>
      <family val="2"/>
      <scheme val="minor"/>
    </font>
    <font>
      <b/>
      <sz val="11"/>
      <color theme="0"/>
      <name val="Arial"/>
      <family val="2"/>
    </font>
    <font>
      <sz val="11"/>
      <color theme="0"/>
      <name val="Arial"/>
      <family val="2"/>
    </font>
    <font>
      <i/>
      <sz val="11"/>
      <color theme="0"/>
      <name val="Arial"/>
      <family val="2"/>
    </font>
  </fonts>
  <fills count="21">
    <fill>
      <patternFill patternType="none"/>
    </fill>
    <fill>
      <patternFill patternType="gray125"/>
    </fill>
    <fill>
      <patternFill patternType="solid">
        <fgColor rgb="FFFF0000"/>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0"/>
        <bgColor indexed="64"/>
      </patternFill>
    </fill>
    <fill>
      <patternFill patternType="solid">
        <fgColor theme="8" tint="0.79998168889431442"/>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6"/>
        <bgColor indexed="64"/>
      </patternFill>
    </fill>
    <fill>
      <patternFill patternType="solid">
        <fgColor theme="4"/>
      </patternFill>
    </fill>
    <fill>
      <patternFill patternType="solid">
        <fgColor theme="6" tint="0.39997558519241921"/>
        <bgColor indexed="65"/>
      </patternFill>
    </fill>
    <fill>
      <patternFill patternType="solid">
        <fgColor theme="4" tint="0.59999389629810485"/>
        <bgColor indexed="64"/>
      </patternFill>
    </fill>
    <fill>
      <patternFill patternType="solid">
        <fgColor theme="8" tint="0.59999389629810485"/>
        <bgColor indexed="64"/>
      </patternFill>
    </fill>
    <fill>
      <patternFill patternType="solid">
        <fgColor rgb="FF0070C0"/>
        <bgColor indexed="64"/>
      </patternFill>
    </fill>
    <fill>
      <patternFill patternType="solid">
        <fgColor theme="8"/>
        <bgColor indexed="64"/>
      </patternFill>
    </fill>
    <fill>
      <patternFill patternType="solid">
        <fgColor rgb="FF163E64"/>
        <bgColor indexed="64"/>
      </patternFill>
    </fill>
  </fills>
  <borders count="31">
    <border>
      <left/>
      <right/>
      <top/>
      <bottom/>
      <diagonal/>
    </border>
    <border>
      <left/>
      <right/>
      <top style="medium">
        <color indexed="64"/>
      </top>
      <bottom style="thin">
        <color indexed="64"/>
      </bottom>
      <diagonal/>
    </border>
    <border>
      <left/>
      <right/>
      <top/>
      <bottom style="medium">
        <color auto="1"/>
      </bottom>
      <diagonal/>
    </border>
    <border>
      <left/>
      <right/>
      <top style="medium">
        <color auto="1"/>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right style="thin">
        <color indexed="64"/>
      </right>
      <top/>
      <bottom style="medium">
        <color auto="1"/>
      </bottom>
      <diagonal/>
    </border>
    <border>
      <left style="thin">
        <color indexed="64"/>
      </left>
      <right/>
      <top/>
      <bottom style="medium">
        <color auto="1"/>
      </bottom>
      <diagonal/>
    </border>
    <border>
      <left style="thin">
        <color indexed="64"/>
      </left>
      <right/>
      <top style="thin">
        <color indexed="64"/>
      </top>
      <bottom/>
      <diagonal/>
    </border>
    <border>
      <left style="thin">
        <color indexed="64"/>
      </left>
      <right/>
      <top style="medium">
        <color auto="1"/>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theme="0" tint="-0.14999847407452621"/>
      </right>
      <top/>
      <bottom/>
      <diagonal/>
    </border>
  </borders>
  <cellStyleXfs count="6">
    <xf numFmtId="0" fontId="0" fillId="0" borderId="0"/>
    <xf numFmtId="166" fontId="8" fillId="0" borderId="0" applyFont="0" applyFill="0" applyBorder="0" applyAlignment="0" applyProtection="0"/>
    <xf numFmtId="0" fontId="16" fillId="0" borderId="0" applyNumberFormat="0" applyFill="0" applyBorder="0" applyAlignment="0" applyProtection="0"/>
    <xf numFmtId="9" fontId="8" fillId="0" borderId="0" applyFont="0" applyFill="0" applyBorder="0" applyAlignment="0" applyProtection="0"/>
    <xf numFmtId="0" fontId="15" fillId="14" borderId="0" applyNumberFormat="0" applyBorder="0" applyAlignment="0" applyProtection="0"/>
    <xf numFmtId="0" fontId="8" fillId="15" borderId="0" applyNumberFormat="0" applyBorder="0" applyAlignment="0" applyProtection="0"/>
  </cellStyleXfs>
  <cellXfs count="428">
    <xf numFmtId="0" fontId="0" fillId="0" borderId="0" xfId="0"/>
    <xf numFmtId="0" fontId="7" fillId="0" borderId="0" xfId="0" applyFont="1"/>
    <xf numFmtId="0" fontId="0" fillId="3" borderId="0" xfId="0" applyFill="1"/>
    <xf numFmtId="0" fontId="4" fillId="0" borderId="0" xfId="0" applyFont="1"/>
    <xf numFmtId="0" fontId="4" fillId="0" borderId="1" xfId="0" applyFont="1" applyBorder="1"/>
    <xf numFmtId="0" fontId="4" fillId="0" borderId="2" xfId="0" applyFont="1" applyBorder="1"/>
    <xf numFmtId="0" fontId="0" fillId="0" borderId="2" xfId="0" applyBorder="1"/>
    <xf numFmtId="0" fontId="4" fillId="0" borderId="3" xfId="0" applyFont="1" applyBorder="1"/>
    <xf numFmtId="0" fontId="0" fillId="0" borderId="3" xfId="0" applyBorder="1"/>
    <xf numFmtId="0" fontId="4" fillId="0" borderId="0" xfId="0" applyFont="1" applyAlignment="1">
      <alignment horizontal="left"/>
    </xf>
    <xf numFmtId="0" fontId="5" fillId="0" borderId="0" xfId="0" applyFont="1"/>
    <xf numFmtId="0" fontId="0" fillId="4" borderId="0" xfId="0" applyFill="1"/>
    <xf numFmtId="164" fontId="0" fillId="0" borderId="0" xfId="0" applyNumberFormat="1"/>
    <xf numFmtId="0" fontId="0" fillId="5" borderId="0" xfId="0" applyFill="1"/>
    <xf numFmtId="0" fontId="9" fillId="5" borderId="0" xfId="0" applyFont="1" applyFill="1"/>
    <xf numFmtId="0" fontId="9" fillId="0" borderId="0" xfId="0" applyFont="1"/>
    <xf numFmtId="0" fontId="4" fillId="0" borderId="4" xfId="0" applyFont="1" applyBorder="1"/>
    <xf numFmtId="0" fontId="4" fillId="0" borderId="5" xfId="0" applyFont="1" applyBorder="1"/>
    <xf numFmtId="0" fontId="4" fillId="6" borderId="0" xfId="0" applyFont="1" applyFill="1"/>
    <xf numFmtId="167" fontId="0" fillId="6" borderId="0" xfId="1" applyNumberFormat="1" applyFont="1" applyFill="1" applyBorder="1" applyAlignment="1">
      <alignment horizontal="right"/>
    </xf>
    <xf numFmtId="167" fontId="0" fillId="6" borderId="7" xfId="1" applyNumberFormat="1" applyFont="1" applyFill="1" applyBorder="1" applyAlignment="1">
      <alignment horizontal="right"/>
    </xf>
    <xf numFmtId="0" fontId="0" fillId="6" borderId="6" xfId="0" applyFill="1" applyBorder="1"/>
    <xf numFmtId="0" fontId="0" fillId="0" borderId="6" xfId="0" applyBorder="1"/>
    <xf numFmtId="168" fontId="0" fillId="6" borderId="0" xfId="1" applyNumberFormat="1" applyFont="1" applyFill="1" applyBorder="1" applyAlignment="1">
      <alignment horizontal="right"/>
    </xf>
    <xf numFmtId="168" fontId="0" fillId="6" borderId="7" xfId="1" applyNumberFormat="1" applyFont="1" applyFill="1" applyBorder="1" applyAlignment="1">
      <alignment horizontal="right"/>
    </xf>
    <xf numFmtId="165" fontId="0" fillId="6" borderId="0" xfId="1" applyNumberFormat="1" applyFont="1" applyFill="1" applyBorder="1" applyAlignment="1">
      <alignment horizontal="right"/>
    </xf>
    <xf numFmtId="165" fontId="0" fillId="6" borderId="7" xfId="1" applyNumberFormat="1" applyFont="1" applyFill="1" applyBorder="1" applyAlignment="1">
      <alignment horizontal="right"/>
    </xf>
    <xf numFmtId="0" fontId="0" fillId="6" borderId="10" xfId="0" applyFill="1" applyBorder="1"/>
    <xf numFmtId="0" fontId="4" fillId="5" borderId="0" xfId="0" applyFont="1" applyFill="1"/>
    <xf numFmtId="0" fontId="4" fillId="7" borderId="1" xfId="0" applyFont="1" applyFill="1" applyBorder="1"/>
    <xf numFmtId="1" fontId="0" fillId="3" borderId="0" xfId="0" applyNumberFormat="1" applyFill="1"/>
    <xf numFmtId="1" fontId="0" fillId="3" borderId="2" xfId="0" applyNumberFormat="1" applyFill="1" applyBorder="1"/>
    <xf numFmtId="1" fontId="0" fillId="0" borderId="0" xfId="0" applyNumberFormat="1"/>
    <xf numFmtId="1" fontId="0" fillId="0" borderId="2" xfId="0" applyNumberFormat="1" applyBorder="1"/>
    <xf numFmtId="171" fontId="0" fillId="0" borderId="2" xfId="0" applyNumberFormat="1" applyBorder="1"/>
    <xf numFmtId="0" fontId="0" fillId="0" borderId="0" xfId="0" applyAlignment="1">
      <alignment horizontal="right"/>
    </xf>
    <xf numFmtId="0" fontId="0" fillId="0" borderId="2" xfId="0" applyBorder="1" applyAlignment="1">
      <alignment horizontal="right"/>
    </xf>
    <xf numFmtId="171" fontId="0" fillId="0" borderId="0" xfId="0" applyNumberFormat="1"/>
    <xf numFmtId="164" fontId="0" fillId="8" borderId="0" xfId="0" applyNumberFormat="1" applyFill="1"/>
    <xf numFmtId="1" fontId="0" fillId="8" borderId="0" xfId="0" applyNumberFormat="1" applyFill="1"/>
    <xf numFmtId="0" fontId="0" fillId="8" borderId="0" xfId="0" applyFill="1"/>
    <xf numFmtId="1" fontId="0" fillId="8" borderId="2" xfId="0" applyNumberFormat="1" applyFill="1" applyBorder="1"/>
    <xf numFmtId="0" fontId="0" fillId="8" borderId="2" xfId="0" applyFill="1" applyBorder="1"/>
    <xf numFmtId="171" fontId="0" fillId="8" borderId="2" xfId="0" applyNumberFormat="1" applyFill="1" applyBorder="1"/>
    <xf numFmtId="170" fontId="0" fillId="0" borderId="0" xfId="0" applyNumberFormat="1"/>
    <xf numFmtId="49" fontId="0" fillId="0" borderId="6" xfId="0" applyNumberFormat="1" applyBorder="1"/>
    <xf numFmtId="0" fontId="4" fillId="0" borderId="12" xfId="0" applyFont="1" applyBorder="1"/>
    <xf numFmtId="164" fontId="0" fillId="9" borderId="0" xfId="0" applyNumberFormat="1" applyFill="1"/>
    <xf numFmtId="1" fontId="0" fillId="9" borderId="0" xfId="0" applyNumberFormat="1" applyFill="1"/>
    <xf numFmtId="1" fontId="0" fillId="9" borderId="2" xfId="0" applyNumberFormat="1" applyFill="1" applyBorder="1"/>
    <xf numFmtId="1" fontId="0" fillId="0" borderId="0" xfId="0" applyNumberFormat="1" applyAlignment="1">
      <alignment horizontal="right"/>
    </xf>
    <xf numFmtId="0" fontId="0" fillId="9" borderId="0" xfId="0" applyFill="1"/>
    <xf numFmtId="0" fontId="0" fillId="9" borderId="2" xfId="0" applyFill="1" applyBorder="1"/>
    <xf numFmtId="0" fontId="10" fillId="0" borderId="0" xfId="0" applyFont="1"/>
    <xf numFmtId="1" fontId="4" fillId="3" borderId="0" xfId="0" applyNumberFormat="1" applyFont="1" applyFill="1"/>
    <xf numFmtId="1" fontId="4" fillId="3" borderId="2" xfId="0" applyNumberFormat="1" applyFont="1" applyFill="1" applyBorder="1"/>
    <xf numFmtId="164" fontId="4" fillId="9" borderId="0" xfId="0" applyNumberFormat="1" applyFont="1" applyFill="1"/>
    <xf numFmtId="1" fontId="4" fillId="9" borderId="0" xfId="0" applyNumberFormat="1" applyFont="1" applyFill="1"/>
    <xf numFmtId="1" fontId="4" fillId="0" borderId="0" xfId="0" applyNumberFormat="1" applyFont="1"/>
    <xf numFmtId="1" fontId="4" fillId="0" borderId="2" xfId="0" applyNumberFormat="1" applyFont="1" applyBorder="1"/>
    <xf numFmtId="171" fontId="4" fillId="9" borderId="0" xfId="0" applyNumberFormat="1" applyFont="1" applyFill="1"/>
    <xf numFmtId="171" fontId="4" fillId="3" borderId="2" xfId="0" applyNumberFormat="1" applyFont="1" applyFill="1" applyBorder="1"/>
    <xf numFmtId="164" fontId="4" fillId="8" borderId="0" xfId="0" applyNumberFormat="1" applyFont="1" applyFill="1"/>
    <xf numFmtId="1" fontId="4" fillId="8" borderId="0" xfId="0" applyNumberFormat="1" applyFont="1" applyFill="1"/>
    <xf numFmtId="171" fontId="4" fillId="0" borderId="2" xfId="0" applyNumberFormat="1" applyFont="1" applyBorder="1"/>
    <xf numFmtId="1" fontId="4" fillId="4" borderId="0" xfId="0" applyNumberFormat="1" applyFont="1" applyFill="1"/>
    <xf numFmtId="171" fontId="4" fillId="8" borderId="0" xfId="0" applyNumberFormat="1" applyFont="1" applyFill="1"/>
    <xf numFmtId="1" fontId="4" fillId="8" borderId="2" xfId="0" applyNumberFormat="1" applyFont="1" applyFill="1" applyBorder="1"/>
    <xf numFmtId="0" fontId="4" fillId="8" borderId="0" xfId="0" applyFont="1" applyFill="1"/>
    <xf numFmtId="0" fontId="4" fillId="8" borderId="2" xfId="0" applyFont="1" applyFill="1" applyBorder="1"/>
    <xf numFmtId="1" fontId="10" fillId="0" borderId="0" xfId="0" applyNumberFormat="1" applyFont="1"/>
    <xf numFmtId="171" fontId="10" fillId="0" borderId="0" xfId="0" applyNumberFormat="1" applyFont="1"/>
    <xf numFmtId="0" fontId="11" fillId="0" borderId="0" xfId="0" applyFont="1"/>
    <xf numFmtId="170" fontId="10" fillId="0" borderId="0" xfId="0" applyNumberFormat="1" applyFont="1"/>
    <xf numFmtId="164" fontId="10" fillId="0" borderId="0" xfId="0" applyNumberFormat="1" applyFont="1"/>
    <xf numFmtId="164" fontId="11" fillId="0" borderId="0" xfId="0" applyNumberFormat="1" applyFont="1"/>
    <xf numFmtId="1" fontId="11" fillId="0" borderId="0" xfId="0" applyNumberFormat="1" applyFont="1"/>
    <xf numFmtId="0" fontId="6" fillId="0" borderId="0" xfId="0" applyFont="1"/>
    <xf numFmtId="0" fontId="3" fillId="0" borderId="0" xfId="0" applyFont="1"/>
    <xf numFmtId="169" fontId="0" fillId="0" borderId="0" xfId="0" applyNumberFormat="1"/>
    <xf numFmtId="49" fontId="0" fillId="0" borderId="6" xfId="0" applyNumberFormat="1" applyBorder="1" applyAlignment="1">
      <alignment horizontal="left"/>
    </xf>
    <xf numFmtId="167" fontId="0" fillId="6" borderId="6" xfId="1" applyNumberFormat="1" applyFont="1" applyFill="1" applyBorder="1" applyAlignment="1">
      <alignment horizontal="right"/>
    </xf>
    <xf numFmtId="167" fontId="0" fillId="5" borderId="6" xfId="1" applyNumberFormat="1" applyFont="1" applyFill="1" applyBorder="1" applyAlignment="1">
      <alignment horizontal="right"/>
    </xf>
    <xf numFmtId="167" fontId="0" fillId="5" borderId="0" xfId="1" applyNumberFormat="1" applyFont="1" applyFill="1" applyBorder="1" applyAlignment="1">
      <alignment horizontal="right"/>
    </xf>
    <xf numFmtId="167" fontId="0" fillId="5" borderId="7" xfId="1" applyNumberFormat="1" applyFont="1" applyFill="1" applyBorder="1" applyAlignment="1">
      <alignment horizontal="right"/>
    </xf>
    <xf numFmtId="168" fontId="0" fillId="6" borderId="6" xfId="1" applyNumberFormat="1" applyFont="1" applyFill="1" applyBorder="1" applyAlignment="1">
      <alignment horizontal="right"/>
    </xf>
    <xf numFmtId="168" fontId="0" fillId="5" borderId="6" xfId="1" applyNumberFormat="1" applyFont="1" applyFill="1" applyBorder="1" applyAlignment="1">
      <alignment horizontal="right"/>
    </xf>
    <xf numFmtId="168" fontId="0" fillId="5" borderId="0" xfId="1" applyNumberFormat="1" applyFont="1" applyFill="1" applyBorder="1" applyAlignment="1">
      <alignment horizontal="right"/>
    </xf>
    <xf numFmtId="0" fontId="0" fillId="5" borderId="6" xfId="0" applyFill="1" applyBorder="1"/>
    <xf numFmtId="2" fontId="4" fillId="6" borderId="7" xfId="0" applyNumberFormat="1" applyFont="1" applyFill="1" applyBorder="1"/>
    <xf numFmtId="165" fontId="0" fillId="6" borderId="6" xfId="1" applyNumberFormat="1" applyFont="1" applyFill="1" applyBorder="1" applyAlignment="1"/>
    <xf numFmtId="2" fontId="4" fillId="6" borderId="9" xfId="0" applyNumberFormat="1" applyFont="1" applyFill="1" applyBorder="1"/>
    <xf numFmtId="3" fontId="0" fillId="0" borderId="0" xfId="0" applyNumberFormat="1"/>
    <xf numFmtId="3" fontId="0" fillId="0" borderId="2" xfId="0" applyNumberFormat="1" applyBorder="1"/>
    <xf numFmtId="3" fontId="4" fillId="8" borderId="0" xfId="0" applyNumberFormat="1" applyFont="1" applyFill="1"/>
    <xf numFmtId="3" fontId="0" fillId="8" borderId="0" xfId="0" applyNumberFormat="1" applyFill="1"/>
    <xf numFmtId="169" fontId="0" fillId="8" borderId="0" xfId="0" applyNumberFormat="1" applyFill="1"/>
    <xf numFmtId="169" fontId="4" fillId="8" borderId="0" xfId="0" applyNumberFormat="1" applyFont="1" applyFill="1"/>
    <xf numFmtId="0" fontId="0" fillId="0" borderId="0" xfId="0" applyAlignment="1">
      <alignment horizontal="left"/>
    </xf>
    <xf numFmtId="0" fontId="0" fillId="0" borderId="6" xfId="0" applyBorder="1" applyAlignment="1">
      <alignment horizontal="left"/>
    </xf>
    <xf numFmtId="168" fontId="0" fillId="6" borderId="2" xfId="1" applyNumberFormat="1" applyFont="1" applyFill="1" applyBorder="1" applyAlignment="1">
      <alignment horizontal="right"/>
    </xf>
    <xf numFmtId="169" fontId="0" fillId="0" borderId="2" xfId="0" applyNumberFormat="1" applyBorder="1"/>
    <xf numFmtId="3" fontId="4" fillId="0" borderId="0" xfId="0" applyNumberFormat="1" applyFont="1"/>
    <xf numFmtId="168" fontId="0" fillId="0" borderId="0" xfId="1" applyNumberFormat="1" applyFont="1" applyFill="1" applyAlignment="1"/>
    <xf numFmtId="0" fontId="7" fillId="0" borderId="2" xfId="0" applyFont="1" applyBorder="1"/>
    <xf numFmtId="0" fontId="10" fillId="5" borderId="0" xfId="0" applyFont="1" applyFill="1"/>
    <xf numFmtId="0" fontId="11" fillId="5" borderId="2" xfId="0" applyFont="1" applyFill="1" applyBorder="1"/>
    <xf numFmtId="168" fontId="4" fillId="6" borderId="7" xfId="1" applyNumberFormat="1" applyFont="1" applyFill="1" applyBorder="1" applyAlignment="1">
      <alignment horizontal="right"/>
    </xf>
    <xf numFmtId="168" fontId="4" fillId="5" borderId="0" xfId="1" applyNumberFormat="1" applyFont="1" applyFill="1" applyBorder="1" applyAlignment="1">
      <alignment horizontal="right"/>
    </xf>
    <xf numFmtId="168" fontId="4" fillId="5" borderId="7" xfId="1" applyNumberFormat="1" applyFont="1" applyFill="1" applyBorder="1" applyAlignment="1">
      <alignment horizontal="right"/>
    </xf>
    <xf numFmtId="168" fontId="4" fillId="6" borderId="9" xfId="1" applyNumberFormat="1" applyFont="1" applyFill="1" applyBorder="1" applyAlignment="1">
      <alignment horizontal="right"/>
    </xf>
    <xf numFmtId="0" fontId="12" fillId="0" borderId="0" xfId="0" applyFont="1"/>
    <xf numFmtId="167" fontId="4" fillId="5" borderId="7" xfId="1" applyNumberFormat="1" applyFont="1" applyFill="1" applyBorder="1" applyAlignment="1">
      <alignment horizontal="right"/>
    </xf>
    <xf numFmtId="0" fontId="0" fillId="0" borderId="21" xfId="0" applyBorder="1"/>
    <xf numFmtId="0" fontId="0" fillId="0" borderId="22" xfId="0" applyBorder="1"/>
    <xf numFmtId="0" fontId="0" fillId="0" borderId="7" xfId="0" applyBorder="1"/>
    <xf numFmtId="167" fontId="4" fillId="5" borderId="0" xfId="1" applyNumberFormat="1" applyFont="1" applyFill="1" applyBorder="1" applyAlignment="1">
      <alignment horizontal="right"/>
    </xf>
    <xf numFmtId="167" fontId="0" fillId="6" borderId="2" xfId="1" applyNumberFormat="1" applyFont="1" applyFill="1" applyBorder="1" applyAlignment="1">
      <alignment horizontal="right"/>
    </xf>
    <xf numFmtId="167" fontId="0" fillId="6" borderId="9" xfId="1" applyNumberFormat="1" applyFont="1" applyFill="1" applyBorder="1" applyAlignment="1">
      <alignment horizontal="right"/>
    </xf>
    <xf numFmtId="0" fontId="0" fillId="0" borderId="0" xfId="0" applyProtection="1">
      <protection locked="0"/>
    </xf>
    <xf numFmtId="0" fontId="4" fillId="5" borderId="2" xfId="0" applyFont="1" applyFill="1" applyBorder="1"/>
    <xf numFmtId="0" fontId="0" fillId="6" borderId="0" xfId="0" applyFill="1"/>
    <xf numFmtId="2" fontId="0" fillId="10" borderId="0" xfId="0" applyNumberFormat="1" applyFill="1"/>
    <xf numFmtId="0" fontId="0" fillId="10" borderId="0" xfId="0" applyFill="1" applyAlignment="1">
      <alignment horizontal="right"/>
    </xf>
    <xf numFmtId="0" fontId="0" fillId="5" borderId="0" xfId="0" applyFill="1" applyProtection="1">
      <protection locked="0"/>
    </xf>
    <xf numFmtId="0" fontId="4" fillId="5" borderId="0" xfId="0" applyFont="1" applyFill="1" applyAlignment="1" applyProtection="1">
      <alignment horizontal="right"/>
      <protection locked="0"/>
    </xf>
    <xf numFmtId="0" fontId="14" fillId="5" borderId="0" xfId="0" applyFont="1" applyFill="1" applyProtection="1">
      <protection locked="0"/>
    </xf>
    <xf numFmtId="0" fontId="5" fillId="5" borderId="0" xfId="0" applyFont="1" applyFill="1"/>
    <xf numFmtId="0" fontId="5" fillId="0" borderId="7" xfId="0" applyFont="1" applyBorder="1"/>
    <xf numFmtId="0" fontId="10" fillId="5" borderId="0" xfId="0" applyFont="1" applyFill="1" applyProtection="1">
      <protection locked="0"/>
    </xf>
    <xf numFmtId="0" fontId="15" fillId="5" borderId="0" xfId="0" applyFont="1" applyFill="1"/>
    <xf numFmtId="0" fontId="4" fillId="5" borderId="23" xfId="0" applyFont="1" applyFill="1" applyBorder="1" applyAlignment="1">
      <alignment horizontal="right"/>
    </xf>
    <xf numFmtId="0" fontId="4" fillId="5" borderId="24" xfId="0" applyFont="1" applyFill="1" applyBorder="1" applyAlignment="1">
      <alignment horizontal="right"/>
    </xf>
    <xf numFmtId="0" fontId="4" fillId="10" borderId="0" xfId="0" quotePrefix="1" applyFont="1" applyFill="1"/>
    <xf numFmtId="0" fontId="12" fillId="5" borderId="0" xfId="0" applyFont="1" applyFill="1"/>
    <xf numFmtId="0" fontId="0" fillId="5" borderId="2" xfId="0" applyFill="1" applyBorder="1"/>
    <xf numFmtId="0" fontId="4" fillId="11" borderId="2" xfId="0" applyFont="1" applyFill="1" applyBorder="1"/>
    <xf numFmtId="0" fontId="13" fillId="5" borderId="0" xfId="0" applyFont="1" applyFill="1"/>
    <xf numFmtId="0" fontId="7" fillId="5" borderId="2" xfId="0" applyFont="1" applyFill="1" applyBorder="1"/>
    <xf numFmtId="0" fontId="15" fillId="5" borderId="0" xfId="0" applyFont="1" applyFill="1" applyProtection="1">
      <protection locked="0"/>
    </xf>
    <xf numFmtId="0" fontId="15" fillId="0" borderId="0" xfId="0" applyFont="1" applyProtection="1">
      <protection locked="0"/>
    </xf>
    <xf numFmtId="2" fontId="4" fillId="6" borderId="7" xfId="1" applyNumberFormat="1" applyFont="1" applyFill="1" applyBorder="1" applyAlignment="1">
      <alignment horizontal="right"/>
    </xf>
    <xf numFmtId="2" fontId="4" fillId="5" borderId="7" xfId="1" applyNumberFormat="1" applyFont="1" applyFill="1" applyBorder="1" applyAlignment="1">
      <alignment horizontal="right"/>
    </xf>
    <xf numFmtId="2" fontId="4" fillId="5" borderId="0" xfId="1" applyNumberFormat="1" applyFont="1" applyFill="1" applyBorder="1" applyAlignment="1">
      <alignment horizontal="right"/>
    </xf>
    <xf numFmtId="0" fontId="0" fillId="6" borderId="11" xfId="1" applyNumberFormat="1" applyFont="1" applyFill="1" applyBorder="1" applyAlignment="1"/>
    <xf numFmtId="0" fontId="0" fillId="0" borderId="6" xfId="1" applyNumberFormat="1" applyFont="1" applyFill="1" applyBorder="1" applyAlignment="1"/>
    <xf numFmtId="0" fontId="0" fillId="6" borderId="6" xfId="1" applyNumberFormat="1" applyFont="1" applyFill="1" applyBorder="1" applyAlignment="1"/>
    <xf numFmtId="0" fontId="0" fillId="6" borderId="10" xfId="1" applyNumberFormat="1" applyFont="1" applyFill="1" applyBorder="1" applyAlignment="1"/>
    <xf numFmtId="2" fontId="0" fillId="6" borderId="6" xfId="1" applyNumberFormat="1" applyFont="1" applyFill="1" applyBorder="1" applyAlignment="1">
      <alignment horizontal="right"/>
    </xf>
    <xf numFmtId="2" fontId="0" fillId="6" borderId="0" xfId="1" applyNumberFormat="1" applyFont="1" applyFill="1" applyBorder="1" applyAlignment="1">
      <alignment horizontal="right"/>
    </xf>
    <xf numFmtId="2" fontId="0" fillId="6" borderId="7" xfId="1" applyNumberFormat="1" applyFont="1" applyFill="1" applyBorder="1" applyAlignment="1">
      <alignment horizontal="right"/>
    </xf>
    <xf numFmtId="2" fontId="0" fillId="5" borderId="6" xfId="1" applyNumberFormat="1" applyFont="1" applyFill="1" applyBorder="1" applyAlignment="1">
      <alignment horizontal="right"/>
    </xf>
    <xf numFmtId="2" fontId="0" fillId="5" borderId="0" xfId="1" applyNumberFormat="1" applyFont="1" applyFill="1" applyBorder="1" applyAlignment="1">
      <alignment horizontal="right"/>
    </xf>
    <xf numFmtId="2" fontId="0" fillId="5" borderId="7" xfId="1" applyNumberFormat="1" applyFont="1" applyFill="1" applyBorder="1" applyAlignment="1">
      <alignment horizontal="right"/>
    </xf>
    <xf numFmtId="2" fontId="0" fillId="6" borderId="6" xfId="1" applyNumberFormat="1" applyFont="1" applyFill="1" applyBorder="1" applyAlignment="1"/>
    <xf numFmtId="2" fontId="0" fillId="6" borderId="2" xfId="1" applyNumberFormat="1" applyFont="1" applyFill="1" applyBorder="1" applyAlignment="1">
      <alignment horizontal="right"/>
    </xf>
    <xf numFmtId="2" fontId="4" fillId="5" borderId="7" xfId="0" applyNumberFormat="1" applyFont="1" applyFill="1" applyBorder="1"/>
    <xf numFmtId="2" fontId="4" fillId="5" borderId="9" xfId="0" applyNumberFormat="1" applyFont="1" applyFill="1" applyBorder="1"/>
    <xf numFmtId="2" fontId="0" fillId="6" borderId="8" xfId="1" applyNumberFormat="1" applyFont="1" applyFill="1" applyBorder="1" applyAlignment="1">
      <alignment horizontal="right"/>
    </xf>
    <xf numFmtId="2" fontId="0" fillId="0" borderId="0" xfId="1" applyNumberFormat="1" applyFont="1" applyFill="1" applyBorder="1" applyAlignment="1">
      <alignment horizontal="right"/>
    </xf>
    <xf numFmtId="2" fontId="0" fillId="0" borderId="7" xfId="1" applyNumberFormat="1" applyFont="1" applyFill="1" applyBorder="1" applyAlignment="1">
      <alignment horizontal="right"/>
    </xf>
    <xf numFmtId="2" fontId="0" fillId="6" borderId="10" xfId="1" applyNumberFormat="1" applyFont="1" applyFill="1" applyBorder="1" applyAlignment="1">
      <alignment horizontal="right"/>
    </xf>
    <xf numFmtId="2" fontId="0" fillId="0" borderId="7" xfId="1" applyNumberFormat="1" applyFont="1" applyBorder="1" applyAlignment="1">
      <alignment horizontal="right"/>
    </xf>
    <xf numFmtId="0" fontId="6" fillId="2" borderId="0" xfId="0" applyFont="1" applyFill="1" applyAlignment="1">
      <alignment horizontal="left" vertical="top" wrapText="1"/>
    </xf>
    <xf numFmtId="0" fontId="16" fillId="0" borderId="0" xfId="2"/>
    <xf numFmtId="49" fontId="0" fillId="0" borderId="0" xfId="0" applyNumberFormat="1" applyAlignment="1">
      <alignment horizontal="right"/>
    </xf>
    <xf numFmtId="170" fontId="0" fillId="0" borderId="2" xfId="0" applyNumberFormat="1" applyBorder="1"/>
    <xf numFmtId="170" fontId="4" fillId="0" borderId="1" xfId="0" applyNumberFormat="1" applyFont="1" applyBorder="1"/>
    <xf numFmtId="170" fontId="0" fillId="0" borderId="6" xfId="0" applyNumberFormat="1" applyBorder="1"/>
    <xf numFmtId="170" fontId="0" fillId="0" borderId="10" xfId="0" applyNumberFormat="1" applyBorder="1"/>
    <xf numFmtId="170" fontId="4" fillId="0" borderId="4" xfId="0" applyNumberFormat="1" applyFont="1" applyBorder="1"/>
    <xf numFmtId="164" fontId="0" fillId="9" borderId="2" xfId="0" applyNumberFormat="1" applyFill="1" applyBorder="1"/>
    <xf numFmtId="172" fontId="0" fillId="8" borderId="0" xfId="0" applyNumberFormat="1" applyFill="1"/>
    <xf numFmtId="3" fontId="0" fillId="8" borderId="2" xfId="0" applyNumberFormat="1" applyFill="1" applyBorder="1"/>
    <xf numFmtId="164" fontId="0" fillId="8" borderId="2" xfId="0" applyNumberFormat="1" applyFill="1" applyBorder="1"/>
    <xf numFmtId="0" fontId="2" fillId="0" borderId="0" xfId="0" applyFont="1"/>
    <xf numFmtId="0" fontId="18" fillId="0" borderId="10" xfId="0" applyFont="1" applyBorder="1" applyAlignment="1">
      <alignment horizontal="center"/>
    </xf>
    <xf numFmtId="0" fontId="18" fillId="0" borderId="2" xfId="0" applyFont="1" applyBorder="1"/>
    <xf numFmtId="0" fontId="18" fillId="0" borderId="9" xfId="0" applyFont="1" applyBorder="1"/>
    <xf numFmtId="0" fontId="19" fillId="0" borderId="6" xfId="0" applyFont="1" applyBorder="1" applyAlignment="1">
      <alignment horizontal="right"/>
    </xf>
    <xf numFmtId="0" fontId="19" fillId="0" borderId="6" xfId="0" applyFont="1" applyBorder="1"/>
    <xf numFmtId="1" fontId="0" fillId="10" borderId="0" xfId="0" applyNumberFormat="1" applyFill="1"/>
    <xf numFmtId="2" fontId="0" fillId="11" borderId="0" xfId="0" applyNumberFormat="1" applyFill="1"/>
    <xf numFmtId="0" fontId="1" fillId="0" borderId="8" xfId="0" applyFont="1" applyBorder="1"/>
    <xf numFmtId="0" fontId="1" fillId="0" borderId="7" xfId="0" applyFont="1" applyBorder="1"/>
    <xf numFmtId="49" fontId="0" fillId="0" borderId="0" xfId="0" applyNumberFormat="1" applyAlignment="1">
      <alignment horizontal="left"/>
    </xf>
    <xf numFmtId="0" fontId="21" fillId="0" borderId="0" xfId="0" applyFont="1"/>
    <xf numFmtId="0" fontId="0" fillId="0" borderId="9" xfId="0" applyBorder="1"/>
    <xf numFmtId="3" fontId="0" fillId="0" borderId="0" xfId="0" applyNumberFormat="1" applyAlignment="1">
      <alignment horizontal="right"/>
    </xf>
    <xf numFmtId="1" fontId="0" fillId="4" borderId="0" xfId="0" applyNumberFormat="1" applyFill="1"/>
    <xf numFmtId="0" fontId="0" fillId="0" borderId="17" xfId="0" applyBorder="1"/>
    <xf numFmtId="168" fontId="0" fillId="0" borderId="0" xfId="0" applyNumberFormat="1"/>
    <xf numFmtId="171" fontId="4" fillId="4" borderId="0" xfId="0" applyNumberFormat="1" applyFont="1" applyFill="1"/>
    <xf numFmtId="0" fontId="0" fillId="10" borderId="2" xfId="0" applyFill="1" applyBorder="1"/>
    <xf numFmtId="0" fontId="4" fillId="7" borderId="1" xfId="0" applyFont="1" applyFill="1" applyBorder="1" applyAlignment="1">
      <alignment horizontal="center"/>
    </xf>
    <xf numFmtId="0" fontId="10" fillId="0" borderId="21" xfId="0" applyFont="1" applyBorder="1"/>
    <xf numFmtId="0" fontId="10" fillId="0" borderId="7" xfId="0" applyFont="1" applyBorder="1"/>
    <xf numFmtId="3" fontId="0" fillId="13" borderId="0" xfId="0" applyNumberFormat="1" applyFill="1"/>
    <xf numFmtId="3" fontId="0" fillId="5" borderId="0" xfId="0" applyNumberFormat="1" applyFill="1"/>
    <xf numFmtId="0" fontId="23" fillId="0" borderId="0" xfId="0" applyFont="1"/>
    <xf numFmtId="0" fontId="24" fillId="0" borderId="0" xfId="0" applyFont="1"/>
    <xf numFmtId="3" fontId="4" fillId="0" borderId="0" xfId="0" applyNumberFormat="1" applyFont="1" applyAlignment="1">
      <alignment horizontal="right"/>
    </xf>
    <xf numFmtId="3" fontId="4" fillId="0" borderId="2" xfId="0" applyNumberFormat="1" applyFont="1" applyBorder="1"/>
    <xf numFmtId="2" fontId="0" fillId="0" borderId="0" xfId="0" applyNumberFormat="1"/>
    <xf numFmtId="1" fontId="0" fillId="8" borderId="0" xfId="0" applyNumberFormat="1" applyFill="1" applyAlignment="1">
      <alignment horizontal="right"/>
    </xf>
    <xf numFmtId="1" fontId="4" fillId="5" borderId="2" xfId="0" applyNumberFormat="1" applyFont="1" applyFill="1" applyBorder="1"/>
    <xf numFmtId="1" fontId="0" fillId="5" borderId="0" xfId="0" applyNumberFormat="1" applyFill="1" applyAlignment="1">
      <alignment horizontal="right"/>
    </xf>
    <xf numFmtId="17" fontId="16" fillId="0" borderId="0" xfId="2" applyNumberFormat="1"/>
    <xf numFmtId="1" fontId="0" fillId="5" borderId="0" xfId="0" applyNumberFormat="1" applyFill="1"/>
    <xf numFmtId="2" fontId="4" fillId="8" borderId="0" xfId="0" applyNumberFormat="1" applyFont="1" applyFill="1"/>
    <xf numFmtId="2" fontId="0" fillId="8" borderId="0" xfId="0" applyNumberFormat="1" applyFill="1"/>
    <xf numFmtId="1" fontId="0" fillId="5" borderId="2" xfId="0" applyNumberFormat="1" applyFill="1" applyBorder="1"/>
    <xf numFmtId="1" fontId="4" fillId="5" borderId="0" xfId="0" applyNumberFormat="1" applyFont="1" applyFill="1"/>
    <xf numFmtId="1" fontId="4" fillId="8" borderId="0" xfId="0" applyNumberFormat="1" applyFont="1" applyFill="1" applyAlignment="1">
      <alignment horizontal="right"/>
    </xf>
    <xf numFmtId="0" fontId="0" fillId="0" borderId="0" xfId="0" applyAlignment="1">
      <alignment vertical="center"/>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0" fillId="0" borderId="26" xfId="0" applyBorder="1" applyAlignment="1">
      <alignment horizontal="center"/>
    </xf>
    <xf numFmtId="0" fontId="0" fillId="0" borderId="27" xfId="0" applyBorder="1" applyAlignment="1">
      <alignment horizontal="center"/>
    </xf>
    <xf numFmtId="170" fontId="0" fillId="0" borderId="27" xfId="0" applyNumberFormat="1"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170" fontId="0" fillId="0" borderId="16" xfId="0" applyNumberFormat="1" applyBorder="1" applyAlignment="1">
      <alignment horizontal="center"/>
    </xf>
    <xf numFmtId="0" fontId="4" fillId="5" borderId="1" xfId="0" applyFont="1" applyFill="1" applyBorder="1"/>
    <xf numFmtId="0" fontId="0" fillId="0" borderId="0" xfId="0" applyAlignment="1">
      <alignment horizontal="left" wrapText="1"/>
    </xf>
    <xf numFmtId="3" fontId="0" fillId="8" borderId="0" xfId="0" applyNumberFormat="1" applyFill="1" applyAlignment="1">
      <alignment horizontal="right"/>
    </xf>
    <xf numFmtId="168" fontId="8" fillId="6" borderId="7" xfId="1" applyNumberFormat="1" applyFont="1" applyFill="1" applyBorder="1" applyAlignment="1">
      <alignment horizontal="right"/>
    </xf>
    <xf numFmtId="168" fontId="8" fillId="6" borderId="7" xfId="1" applyNumberFormat="1" applyFont="1" applyFill="1" applyBorder="1" applyAlignment="1">
      <alignment horizontal="center"/>
    </xf>
    <xf numFmtId="167" fontId="8" fillId="6" borderId="6" xfId="1" applyNumberFormat="1" applyFont="1" applyFill="1" applyBorder="1" applyAlignment="1">
      <alignment horizontal="center"/>
    </xf>
    <xf numFmtId="167" fontId="8" fillId="6" borderId="0" xfId="1" applyNumberFormat="1" applyFont="1" applyFill="1" applyBorder="1" applyAlignment="1">
      <alignment horizontal="center"/>
    </xf>
    <xf numFmtId="167" fontId="8" fillId="6" borderId="7" xfId="1" applyNumberFormat="1" applyFont="1" applyFill="1" applyBorder="1" applyAlignment="1">
      <alignment horizontal="center"/>
    </xf>
    <xf numFmtId="167" fontId="8" fillId="5" borderId="6" xfId="1" applyNumberFormat="1" applyFont="1" applyFill="1" applyBorder="1" applyAlignment="1">
      <alignment horizontal="center"/>
    </xf>
    <xf numFmtId="167" fontId="8" fillId="5" borderId="0" xfId="1" applyNumberFormat="1" applyFont="1" applyFill="1" applyBorder="1" applyAlignment="1">
      <alignment horizontal="center"/>
    </xf>
    <xf numFmtId="168" fontId="8" fillId="6" borderId="6" xfId="1" applyNumberFormat="1" applyFont="1" applyFill="1" applyBorder="1" applyAlignment="1">
      <alignment horizontal="center"/>
    </xf>
    <xf numFmtId="168" fontId="8" fillId="6" borderId="0" xfId="1" applyNumberFormat="1" applyFont="1" applyFill="1" applyBorder="1" applyAlignment="1">
      <alignment horizontal="center"/>
    </xf>
    <xf numFmtId="168" fontId="8" fillId="5" borderId="6" xfId="1" applyNumberFormat="1" applyFont="1" applyFill="1" applyBorder="1" applyAlignment="1">
      <alignment horizontal="center"/>
    </xf>
    <xf numFmtId="168" fontId="8" fillId="5" borderId="0" xfId="1" applyNumberFormat="1" applyFont="1" applyFill="1" applyBorder="1" applyAlignment="1">
      <alignment horizontal="center"/>
    </xf>
    <xf numFmtId="165" fontId="8" fillId="6" borderId="6" xfId="1" applyNumberFormat="1" applyFont="1" applyFill="1" applyBorder="1" applyAlignment="1">
      <alignment horizontal="center"/>
    </xf>
    <xf numFmtId="165" fontId="8" fillId="6" borderId="0" xfId="1" applyNumberFormat="1" applyFont="1" applyFill="1" applyBorder="1" applyAlignment="1">
      <alignment horizontal="center"/>
    </xf>
    <xf numFmtId="168" fontId="8" fillId="6" borderId="2" xfId="1" applyNumberFormat="1" applyFont="1" applyFill="1" applyBorder="1" applyAlignment="1">
      <alignment horizontal="center"/>
    </xf>
    <xf numFmtId="168" fontId="8" fillId="6" borderId="9" xfId="1" applyNumberFormat="1" applyFont="1" applyFill="1" applyBorder="1" applyAlignment="1">
      <alignment horizontal="center"/>
    </xf>
    <xf numFmtId="1" fontId="0" fillId="8" borderId="2" xfId="0" applyNumberFormat="1" applyFill="1" applyBorder="1" applyAlignment="1">
      <alignment horizontal="right"/>
    </xf>
    <xf numFmtId="171" fontId="0" fillId="5" borderId="0" xfId="0" applyNumberFormat="1" applyFill="1" applyAlignment="1">
      <alignment horizontal="right"/>
    </xf>
    <xf numFmtId="171" fontId="0" fillId="5" borderId="0" xfId="0" applyNumberFormat="1" applyFill="1"/>
    <xf numFmtId="0" fontId="0" fillId="5" borderId="10" xfId="0" applyFill="1" applyBorder="1"/>
    <xf numFmtId="0" fontId="4" fillId="5" borderId="9" xfId="0" applyFont="1" applyFill="1" applyBorder="1"/>
    <xf numFmtId="167" fontId="4" fillId="5" borderId="9" xfId="1" applyNumberFormat="1" applyFont="1" applyFill="1" applyBorder="1" applyAlignment="1">
      <alignment horizontal="right"/>
    </xf>
    <xf numFmtId="167" fontId="0" fillId="5" borderId="2" xfId="1" applyNumberFormat="1" applyFont="1" applyFill="1" applyBorder="1" applyAlignment="1">
      <alignment horizontal="right"/>
    </xf>
    <xf numFmtId="167" fontId="0" fillId="5" borderId="9" xfId="1" applyNumberFormat="1" applyFont="1" applyFill="1" applyBorder="1" applyAlignment="1">
      <alignment horizontal="right"/>
    </xf>
    <xf numFmtId="2" fontId="4" fillId="6" borderId="0" xfId="0" applyNumberFormat="1" applyFont="1" applyFill="1"/>
    <xf numFmtId="49" fontId="0" fillId="0" borderId="0" xfId="0" applyNumberFormat="1"/>
    <xf numFmtId="168" fontId="0" fillId="5" borderId="2" xfId="1" applyNumberFormat="1" applyFont="1" applyFill="1" applyBorder="1" applyAlignment="1">
      <alignment horizontal="right"/>
    </xf>
    <xf numFmtId="168" fontId="4" fillId="5" borderId="9" xfId="1" applyNumberFormat="1" applyFont="1" applyFill="1" applyBorder="1" applyAlignment="1">
      <alignment horizontal="right"/>
    </xf>
    <xf numFmtId="174" fontId="0" fillId="5" borderId="2" xfId="1" applyNumberFormat="1" applyFont="1" applyFill="1" applyBorder="1" applyAlignment="1">
      <alignment horizontal="right"/>
    </xf>
    <xf numFmtId="174" fontId="4" fillId="5" borderId="9" xfId="1" applyNumberFormat="1" applyFont="1" applyFill="1" applyBorder="1" applyAlignment="1">
      <alignment horizontal="right"/>
    </xf>
    <xf numFmtId="49" fontId="0" fillId="5" borderId="2" xfId="0" applyNumberFormat="1" applyFill="1" applyBorder="1" applyAlignment="1">
      <alignment horizontal="right"/>
    </xf>
    <xf numFmtId="3" fontId="4" fillId="9" borderId="0" xfId="0" applyNumberFormat="1" applyFont="1" applyFill="1"/>
    <xf numFmtId="3" fontId="0" fillId="9" borderId="2" xfId="0" applyNumberFormat="1" applyFill="1" applyBorder="1"/>
    <xf numFmtId="164" fontId="0" fillId="5" borderId="2" xfId="0" applyNumberFormat="1" applyFill="1" applyBorder="1" applyAlignment="1">
      <alignment horizontal="right"/>
    </xf>
    <xf numFmtId="168" fontId="0" fillId="0" borderId="0" xfId="1" applyNumberFormat="1" applyFont="1" applyFill="1" applyBorder="1" applyAlignment="1"/>
    <xf numFmtId="1" fontId="0" fillId="5" borderId="10" xfId="1" applyNumberFormat="1" applyFont="1" applyFill="1" applyBorder="1" applyAlignment="1">
      <alignment horizontal="right"/>
    </xf>
    <xf numFmtId="1" fontId="0" fillId="5" borderId="2" xfId="1" applyNumberFormat="1" applyFont="1" applyFill="1" applyBorder="1" applyAlignment="1">
      <alignment horizontal="right"/>
    </xf>
    <xf numFmtId="1" fontId="4" fillId="5" borderId="2" xfId="1" applyNumberFormat="1" applyFont="1" applyFill="1" applyBorder="1" applyAlignment="1">
      <alignment horizontal="right"/>
    </xf>
    <xf numFmtId="173" fontId="0" fillId="5" borderId="2" xfId="0" applyNumberFormat="1" applyFill="1" applyBorder="1"/>
    <xf numFmtId="4" fontId="0" fillId="5" borderId="2" xfId="0" applyNumberFormat="1" applyFill="1" applyBorder="1"/>
    <xf numFmtId="3" fontId="0" fillId="5" borderId="0" xfId="0" applyNumberFormat="1" applyFill="1" applyAlignment="1">
      <alignment horizontal="right"/>
    </xf>
    <xf numFmtId="0" fontId="0" fillId="0" borderId="10" xfId="0" applyBorder="1"/>
    <xf numFmtId="168" fontId="8" fillId="6" borderId="10" xfId="1" applyNumberFormat="1" applyFont="1" applyFill="1" applyBorder="1" applyAlignment="1">
      <alignment horizontal="center"/>
    </xf>
    <xf numFmtId="173" fontId="0" fillId="5" borderId="2" xfId="0" applyNumberFormat="1" applyFill="1" applyBorder="1" applyAlignment="1">
      <alignment horizontal="right"/>
    </xf>
    <xf numFmtId="173" fontId="4" fillId="8" borderId="2" xfId="0" applyNumberFormat="1" applyFont="1" applyFill="1" applyBorder="1"/>
    <xf numFmtId="173" fontId="0" fillId="5" borderId="0" xfId="0" applyNumberFormat="1" applyFill="1" applyAlignment="1">
      <alignment horizontal="right"/>
    </xf>
    <xf numFmtId="173" fontId="4" fillId="8" borderId="0" xfId="0" applyNumberFormat="1" applyFont="1" applyFill="1"/>
    <xf numFmtId="173" fontId="0" fillId="5" borderId="0" xfId="0" applyNumberFormat="1" applyFill="1"/>
    <xf numFmtId="0" fontId="11" fillId="0" borderId="2" xfId="0" applyFont="1" applyBorder="1"/>
    <xf numFmtId="0" fontId="10" fillId="0" borderId="2" xfId="0" applyFont="1" applyBorder="1"/>
    <xf numFmtId="0" fontId="10" fillId="0" borderId="10" xfId="0" applyFont="1" applyBorder="1"/>
    <xf numFmtId="1" fontId="10" fillId="8" borderId="2" xfId="0" applyNumberFormat="1" applyFont="1" applyFill="1" applyBorder="1"/>
    <xf numFmtId="171" fontId="10" fillId="8" borderId="2" xfId="0" applyNumberFormat="1" applyFont="1" applyFill="1" applyBorder="1"/>
    <xf numFmtId="0" fontId="10" fillId="8" borderId="2" xfId="0" applyFont="1" applyFill="1" applyBorder="1"/>
    <xf numFmtId="1" fontId="10" fillId="10" borderId="2" xfId="0" applyNumberFormat="1" applyFont="1" applyFill="1" applyBorder="1" applyAlignment="1">
      <alignment horizontal="right"/>
    </xf>
    <xf numFmtId="174" fontId="0" fillId="5" borderId="9" xfId="1" applyNumberFormat="1" applyFont="1" applyFill="1" applyBorder="1" applyAlignment="1">
      <alignment horizontal="right"/>
    </xf>
    <xf numFmtId="167" fontId="0" fillId="6" borderId="12" xfId="1" applyNumberFormat="1" applyFont="1" applyFill="1" applyBorder="1" applyAlignment="1">
      <alignment horizontal="right"/>
    </xf>
    <xf numFmtId="0" fontId="0" fillId="0" borderId="0" xfId="0" applyAlignment="1">
      <alignment horizontal="left" indent="5"/>
    </xf>
    <xf numFmtId="0" fontId="0" fillId="0" borderId="0" xfId="0" applyAlignment="1">
      <alignment horizontal="left" indent="1"/>
    </xf>
    <xf numFmtId="3" fontId="10" fillId="8" borderId="0" xfId="0" applyNumberFormat="1" applyFont="1" applyFill="1"/>
    <xf numFmtId="3" fontId="0" fillId="5" borderId="2" xfId="0" applyNumberFormat="1" applyFill="1" applyBorder="1"/>
    <xf numFmtId="1" fontId="4" fillId="5" borderId="0" xfId="0" applyNumberFormat="1" applyFont="1" applyFill="1" applyAlignment="1">
      <alignment horizontal="right"/>
    </xf>
    <xf numFmtId="165" fontId="0" fillId="6" borderId="6" xfId="1" applyNumberFormat="1" applyFont="1" applyFill="1" applyBorder="1" applyAlignment="1">
      <alignment horizontal="right"/>
    </xf>
    <xf numFmtId="170" fontId="4" fillId="0" borderId="6" xfId="0" applyNumberFormat="1" applyFont="1" applyBorder="1"/>
    <xf numFmtId="170" fontId="4" fillId="0" borderId="0" xfId="0" applyNumberFormat="1" applyFont="1"/>
    <xf numFmtId="3" fontId="0" fillId="10" borderId="0" xfId="0" applyNumberFormat="1" applyFill="1"/>
    <xf numFmtId="0" fontId="0" fillId="5" borderId="0" xfId="0" applyFill="1" applyAlignment="1">
      <alignment horizontal="right"/>
    </xf>
    <xf numFmtId="168" fontId="8" fillId="5" borderId="7" xfId="1" applyNumberFormat="1" applyFont="1" applyFill="1" applyBorder="1" applyAlignment="1">
      <alignment horizontal="right"/>
    </xf>
    <xf numFmtId="0" fontId="4" fillId="6" borderId="2" xfId="0" applyFont="1" applyFill="1" applyBorder="1"/>
    <xf numFmtId="0" fontId="15" fillId="3" borderId="0" xfId="4" applyFill="1"/>
    <xf numFmtId="0" fontId="0" fillId="17" borderId="0" xfId="5" applyFont="1" applyFill="1"/>
    <xf numFmtId="0" fontId="4" fillId="17" borderId="0" xfId="5" applyFont="1" applyFill="1"/>
    <xf numFmtId="0" fontId="2" fillId="5" borderId="0" xfId="0" applyFont="1" applyFill="1"/>
    <xf numFmtId="0" fontId="1" fillId="5" borderId="0" xfId="0" applyFont="1" applyFill="1"/>
    <xf numFmtId="0" fontId="15" fillId="0" borderId="0" xfId="4" applyFill="1"/>
    <xf numFmtId="0" fontId="0" fillId="16" borderId="0" xfId="0" applyFill="1" applyProtection="1">
      <protection hidden="1"/>
    </xf>
    <xf numFmtId="0" fontId="4" fillId="5" borderId="0" xfId="0" applyFont="1" applyFill="1" applyProtection="1">
      <protection hidden="1"/>
    </xf>
    <xf numFmtId="2" fontId="0" fillId="6" borderId="0" xfId="0" applyNumberFormat="1" applyFill="1" applyProtection="1">
      <protection hidden="1"/>
    </xf>
    <xf numFmtId="2" fontId="0" fillId="6" borderId="2" xfId="0" applyNumberFormat="1" applyFill="1" applyBorder="1" applyProtection="1">
      <protection hidden="1"/>
    </xf>
    <xf numFmtId="0" fontId="0" fillId="10" borderId="0" xfId="0" applyFill="1" applyProtection="1">
      <protection hidden="1"/>
    </xf>
    <xf numFmtId="171" fontId="0" fillId="16" borderId="0" xfId="0" applyNumberFormat="1" applyFill="1" applyProtection="1">
      <protection hidden="1"/>
    </xf>
    <xf numFmtId="171" fontId="0" fillId="6" borderId="0" xfId="0" applyNumberFormat="1" applyFill="1" applyProtection="1">
      <protection hidden="1"/>
    </xf>
    <xf numFmtId="171" fontId="0" fillId="12" borderId="0" xfId="0" applyNumberFormat="1" applyFill="1" applyProtection="1">
      <protection hidden="1"/>
    </xf>
    <xf numFmtId="171" fontId="0" fillId="16" borderId="0" xfId="0" applyNumberFormat="1" applyFill="1" applyAlignment="1" applyProtection="1">
      <alignment horizontal="right"/>
      <protection hidden="1"/>
    </xf>
    <xf numFmtId="1" fontId="0" fillId="12" borderId="0" xfId="0" applyNumberFormat="1" applyFill="1" applyProtection="1">
      <protection hidden="1"/>
    </xf>
    <xf numFmtId="1" fontId="0" fillId="6" borderId="0" xfId="0" applyNumberFormat="1" applyFill="1" applyProtection="1">
      <protection hidden="1"/>
    </xf>
    <xf numFmtId="1" fontId="0" fillId="16" borderId="0" xfId="0" applyNumberFormat="1" applyFill="1" applyProtection="1">
      <protection hidden="1"/>
    </xf>
    <xf numFmtId="2" fontId="0" fillId="16" borderId="0" xfId="0" applyNumberFormat="1" applyFill="1" applyProtection="1">
      <protection hidden="1"/>
    </xf>
    <xf numFmtId="2" fontId="0" fillId="12" borderId="0" xfId="0" applyNumberFormat="1" applyFill="1" applyProtection="1">
      <protection hidden="1"/>
    </xf>
    <xf numFmtId="173" fontId="0" fillId="16" borderId="0" xfId="0" applyNumberFormat="1" applyFill="1" applyAlignment="1" applyProtection="1">
      <alignment horizontal="right"/>
      <protection hidden="1"/>
    </xf>
    <xf numFmtId="173" fontId="0" fillId="6" borderId="0" xfId="0" applyNumberFormat="1" applyFill="1" applyAlignment="1" applyProtection="1">
      <alignment horizontal="right"/>
      <protection hidden="1"/>
    </xf>
    <xf numFmtId="173" fontId="0" fillId="12" borderId="0" xfId="0" applyNumberFormat="1" applyFill="1" applyAlignment="1" applyProtection="1">
      <alignment horizontal="right"/>
      <protection hidden="1"/>
    </xf>
    <xf numFmtId="173" fontId="4" fillId="16" borderId="0" xfId="0" applyNumberFormat="1" applyFont="1" applyFill="1" applyAlignment="1" applyProtection="1">
      <alignment horizontal="right"/>
      <protection hidden="1"/>
    </xf>
    <xf numFmtId="173" fontId="4" fillId="6" borderId="0" xfId="0" applyNumberFormat="1" applyFont="1" applyFill="1" applyAlignment="1" applyProtection="1">
      <alignment horizontal="right"/>
      <protection hidden="1"/>
    </xf>
    <xf numFmtId="173" fontId="4" fillId="12" borderId="0" xfId="0" applyNumberFormat="1" applyFont="1" applyFill="1" applyAlignment="1" applyProtection="1">
      <alignment horizontal="right"/>
      <protection hidden="1"/>
    </xf>
    <xf numFmtId="173" fontId="5" fillId="16" borderId="0" xfId="0" applyNumberFormat="1" applyFont="1" applyFill="1" applyAlignment="1" applyProtection="1">
      <alignment horizontal="right"/>
      <protection hidden="1"/>
    </xf>
    <xf numFmtId="173" fontId="5" fillId="6" borderId="0" xfId="0" applyNumberFormat="1" applyFont="1" applyFill="1" applyAlignment="1" applyProtection="1">
      <alignment horizontal="right"/>
      <protection hidden="1"/>
    </xf>
    <xf numFmtId="173" fontId="5" fillId="12" borderId="0" xfId="0" applyNumberFormat="1" applyFont="1" applyFill="1" applyAlignment="1" applyProtection="1">
      <alignment horizontal="right"/>
      <protection hidden="1"/>
    </xf>
    <xf numFmtId="170" fontId="4" fillId="16" borderId="0" xfId="0" applyNumberFormat="1" applyFont="1" applyFill="1" applyAlignment="1" applyProtection="1">
      <alignment horizontal="right"/>
      <protection hidden="1"/>
    </xf>
    <xf numFmtId="170" fontId="4" fillId="6" borderId="0" xfId="0" applyNumberFormat="1" applyFont="1" applyFill="1" applyAlignment="1" applyProtection="1">
      <alignment horizontal="right"/>
      <protection hidden="1"/>
    </xf>
    <xf numFmtId="170" fontId="4" fillId="12" borderId="0" xfId="0" applyNumberFormat="1" applyFont="1" applyFill="1" applyProtection="1">
      <protection hidden="1"/>
    </xf>
    <xf numFmtId="0" fontId="4" fillId="5" borderId="25" xfId="0" applyFont="1" applyFill="1" applyBorder="1" applyAlignment="1" applyProtection="1">
      <alignment horizontal="right"/>
      <protection hidden="1"/>
    </xf>
    <xf numFmtId="0" fontId="4" fillId="16" borderId="2" xfId="0" applyFont="1" applyFill="1" applyBorder="1" applyAlignment="1" applyProtection="1">
      <alignment horizontal="right"/>
      <protection hidden="1"/>
    </xf>
    <xf numFmtId="0" fontId="4" fillId="6" borderId="2" xfId="0" applyFont="1" applyFill="1" applyBorder="1" applyAlignment="1" applyProtection="1">
      <alignment horizontal="right"/>
      <protection hidden="1"/>
    </xf>
    <xf numFmtId="0" fontId="4" fillId="12" borderId="2" xfId="0" applyFont="1" applyFill="1" applyBorder="1" applyAlignment="1" applyProtection="1">
      <alignment horizontal="right"/>
      <protection hidden="1"/>
    </xf>
    <xf numFmtId="0" fontId="0" fillId="5" borderId="0" xfId="0" applyFill="1" applyProtection="1">
      <protection hidden="1"/>
    </xf>
    <xf numFmtId="0" fontId="4" fillId="5" borderId="0" xfId="0" applyFont="1" applyFill="1" applyAlignment="1" applyProtection="1">
      <alignment horizontal="right"/>
      <protection hidden="1"/>
    </xf>
    <xf numFmtId="0" fontId="1" fillId="5" borderId="0" xfId="0" applyFont="1" applyFill="1" applyAlignment="1" applyProtection="1">
      <alignment horizontal="right"/>
      <protection hidden="1"/>
    </xf>
    <xf numFmtId="0" fontId="26" fillId="0" borderId="0" xfId="0" applyFont="1" applyAlignment="1">
      <alignment vertical="center" readingOrder="1"/>
    </xf>
    <xf numFmtId="0" fontId="0" fillId="5" borderId="30" xfId="0" applyFill="1" applyBorder="1"/>
    <xf numFmtId="0" fontId="1" fillId="0" borderId="0" xfId="0" applyFont="1"/>
    <xf numFmtId="0" fontId="1" fillId="0" borderId="11" xfId="0" applyFont="1" applyBorder="1"/>
    <xf numFmtId="0" fontId="1" fillId="0" borderId="17" xfId="0" applyFont="1" applyBorder="1"/>
    <xf numFmtId="0" fontId="1" fillId="0" borderId="6" xfId="0" applyFont="1" applyBorder="1"/>
    <xf numFmtId="0" fontId="1" fillId="0" borderId="18" xfId="0" applyFont="1" applyBorder="1"/>
    <xf numFmtId="0" fontId="1" fillId="0" borderId="19" xfId="0" applyFont="1" applyBorder="1"/>
    <xf numFmtId="0" fontId="1" fillId="0" borderId="20" xfId="0" applyFont="1" applyBorder="1"/>
    <xf numFmtId="0" fontId="1" fillId="12" borderId="0" xfId="0" applyFont="1" applyFill="1"/>
    <xf numFmtId="0" fontId="1" fillId="10" borderId="0" xfId="0" applyFont="1" applyFill="1"/>
    <xf numFmtId="2" fontId="1" fillId="5" borderId="0" xfId="0" applyNumberFormat="1" applyFont="1" applyFill="1"/>
    <xf numFmtId="0" fontId="1" fillId="5" borderId="0" xfId="0" applyFont="1" applyFill="1" applyProtection="1">
      <protection hidden="1"/>
    </xf>
    <xf numFmtId="2" fontId="1" fillId="5" borderId="0" xfId="0" applyNumberFormat="1" applyFont="1" applyFill="1" applyProtection="1">
      <protection hidden="1"/>
    </xf>
    <xf numFmtId="0" fontId="2" fillId="5" borderId="0" xfId="0" applyFont="1" applyFill="1" applyProtection="1">
      <protection hidden="1"/>
    </xf>
    <xf numFmtId="0" fontId="1" fillId="5" borderId="11" xfId="0" applyFont="1" applyFill="1" applyBorder="1" applyProtection="1">
      <protection hidden="1"/>
    </xf>
    <xf numFmtId="0" fontId="1" fillId="5" borderId="8" xfId="0" applyFont="1" applyFill="1" applyBorder="1" applyProtection="1">
      <protection hidden="1"/>
    </xf>
    <xf numFmtId="0" fontId="1" fillId="5" borderId="17" xfId="0" applyFont="1" applyFill="1" applyBorder="1" applyProtection="1">
      <protection hidden="1"/>
    </xf>
    <xf numFmtId="0" fontId="18" fillId="5" borderId="10" xfId="0" applyFont="1" applyFill="1" applyBorder="1" applyAlignment="1" applyProtection="1">
      <alignment horizontal="center"/>
      <protection hidden="1"/>
    </xf>
    <xf numFmtId="0" fontId="18" fillId="5" borderId="2" xfId="0" applyFont="1" applyFill="1" applyBorder="1" applyProtection="1">
      <protection hidden="1"/>
    </xf>
    <xf numFmtId="0" fontId="18" fillId="5" borderId="9" xfId="0" applyFont="1" applyFill="1" applyBorder="1" applyProtection="1">
      <protection hidden="1"/>
    </xf>
    <xf numFmtId="0" fontId="18" fillId="5" borderId="6" xfId="0" applyFont="1" applyFill="1" applyBorder="1" applyAlignment="1" applyProtection="1">
      <alignment horizontal="right"/>
      <protection hidden="1"/>
    </xf>
    <xf numFmtId="0" fontId="18" fillId="5" borderId="0" xfId="0" applyFont="1" applyFill="1" applyProtection="1">
      <protection hidden="1"/>
    </xf>
    <xf numFmtId="0" fontId="18" fillId="5" borderId="7" xfId="0" applyFont="1" applyFill="1" applyBorder="1" applyProtection="1">
      <protection hidden="1"/>
    </xf>
    <xf numFmtId="0" fontId="27" fillId="20" borderId="6" xfId="0" applyFont="1" applyFill="1" applyBorder="1" applyAlignment="1" applyProtection="1">
      <alignment horizontal="right"/>
      <protection hidden="1"/>
    </xf>
    <xf numFmtId="0" fontId="28" fillId="20" borderId="0" xfId="0" applyFont="1" applyFill="1" applyProtection="1">
      <protection hidden="1"/>
    </xf>
    <xf numFmtId="0" fontId="29" fillId="20" borderId="7" xfId="0" applyFont="1" applyFill="1" applyBorder="1" applyProtection="1">
      <protection hidden="1"/>
    </xf>
    <xf numFmtId="0" fontId="27" fillId="18" borderId="6" xfId="0" applyFont="1" applyFill="1" applyBorder="1" applyAlignment="1" applyProtection="1">
      <alignment horizontal="right" wrapText="1"/>
      <protection hidden="1"/>
    </xf>
    <xf numFmtId="0" fontId="28" fillId="18" borderId="0" xfId="0" applyFont="1" applyFill="1" applyProtection="1">
      <protection hidden="1"/>
    </xf>
    <xf numFmtId="0" fontId="29" fillId="18" borderId="7" xfId="0" applyFont="1" applyFill="1" applyBorder="1" applyProtection="1">
      <protection hidden="1"/>
    </xf>
    <xf numFmtId="0" fontId="27" fillId="18" borderId="6" xfId="0" applyFont="1" applyFill="1" applyBorder="1" applyAlignment="1" applyProtection="1">
      <alignment horizontal="right"/>
      <protection hidden="1"/>
    </xf>
    <xf numFmtId="0" fontId="27" fillId="19" borderId="6" xfId="0" applyFont="1" applyFill="1" applyBorder="1" applyAlignment="1" applyProtection="1">
      <alignment horizontal="right"/>
      <protection hidden="1"/>
    </xf>
    <xf numFmtId="0" fontId="28" fillId="19" borderId="0" xfId="0" applyFont="1" applyFill="1" applyProtection="1">
      <protection hidden="1"/>
    </xf>
    <xf numFmtId="0" fontId="29" fillId="19" borderId="7" xfId="0" applyFont="1" applyFill="1" applyBorder="1" applyProtection="1">
      <protection hidden="1"/>
    </xf>
    <xf numFmtId="0" fontId="1" fillId="5" borderId="7" xfId="0" applyFont="1" applyFill="1" applyBorder="1" applyProtection="1">
      <protection hidden="1"/>
    </xf>
    <xf numFmtId="0" fontId="19" fillId="5" borderId="6" xfId="0" applyFont="1" applyFill="1" applyBorder="1" applyAlignment="1" applyProtection="1">
      <alignment horizontal="right"/>
      <protection hidden="1"/>
    </xf>
    <xf numFmtId="0" fontId="1" fillId="5" borderId="6" xfId="0" applyFont="1" applyFill="1" applyBorder="1" applyProtection="1">
      <protection hidden="1"/>
    </xf>
    <xf numFmtId="0" fontId="1" fillId="5" borderId="18" xfId="0" applyFont="1" applyFill="1" applyBorder="1" applyProtection="1">
      <protection hidden="1"/>
    </xf>
    <xf numFmtId="0" fontId="1" fillId="5" borderId="19" xfId="0" applyFont="1" applyFill="1" applyBorder="1" applyProtection="1">
      <protection hidden="1"/>
    </xf>
    <xf numFmtId="0" fontId="1" fillId="5" borderId="20" xfId="0" applyFont="1" applyFill="1" applyBorder="1" applyProtection="1">
      <protection hidden="1"/>
    </xf>
    <xf numFmtId="0" fontId="0" fillId="0" borderId="0" xfId="0" applyProtection="1">
      <protection hidden="1"/>
    </xf>
    <xf numFmtId="0" fontId="13" fillId="5" borderId="0" xfId="0" applyFont="1" applyFill="1" applyProtection="1">
      <protection hidden="1"/>
    </xf>
    <xf numFmtId="0" fontId="14" fillId="5" borderId="0" xfId="0" applyFont="1" applyFill="1" applyProtection="1">
      <protection hidden="1"/>
    </xf>
    <xf numFmtId="0" fontId="4" fillId="5" borderId="2" xfId="0" applyFont="1" applyFill="1" applyBorder="1" applyProtection="1">
      <protection hidden="1"/>
    </xf>
    <xf numFmtId="171" fontId="0" fillId="10" borderId="0" xfId="0" applyNumberFormat="1" applyFill="1" applyProtection="1">
      <protection hidden="1"/>
    </xf>
    <xf numFmtId="0" fontId="7" fillId="5" borderId="0" xfId="0" applyFont="1" applyFill="1" applyProtection="1">
      <protection hidden="1"/>
    </xf>
    <xf numFmtId="10" fontId="0" fillId="5" borderId="0" xfId="0" applyNumberFormat="1" applyFill="1" applyProtection="1">
      <protection hidden="1"/>
    </xf>
    <xf numFmtId="9" fontId="0" fillId="5" borderId="0" xfId="0" applyNumberFormat="1" applyFill="1" applyProtection="1">
      <protection hidden="1"/>
    </xf>
    <xf numFmtId="0" fontId="4" fillId="5" borderId="0" xfId="0" applyFont="1" applyFill="1" applyAlignment="1" applyProtection="1">
      <alignment horizontal="left"/>
      <protection hidden="1"/>
    </xf>
    <xf numFmtId="0" fontId="0" fillId="5" borderId="2" xfId="0" applyFill="1" applyBorder="1" applyProtection="1">
      <protection hidden="1"/>
    </xf>
    <xf numFmtId="0" fontId="0" fillId="16" borderId="0" xfId="0" applyFill="1" applyAlignment="1" applyProtection="1">
      <alignment horizontal="right"/>
      <protection hidden="1"/>
    </xf>
    <xf numFmtId="0" fontId="4" fillId="16" borderId="0" xfId="0" applyFont="1" applyFill="1" applyAlignment="1" applyProtection="1">
      <alignment horizontal="right"/>
      <protection hidden="1"/>
    </xf>
    <xf numFmtId="0" fontId="0" fillId="6" borderId="0" xfId="0" applyFill="1" applyAlignment="1" applyProtection="1">
      <alignment horizontal="right"/>
      <protection hidden="1"/>
    </xf>
    <xf numFmtId="0" fontId="4" fillId="6" borderId="0" xfId="0" applyFont="1" applyFill="1" applyAlignment="1" applyProtection="1">
      <alignment horizontal="right"/>
      <protection hidden="1"/>
    </xf>
    <xf numFmtId="0" fontId="4" fillId="12" borderId="0" xfId="0" applyFont="1" applyFill="1" applyAlignment="1" applyProtection="1">
      <alignment horizontal="right"/>
      <protection hidden="1"/>
    </xf>
    <xf numFmtId="0" fontId="0" fillId="5" borderId="0" xfId="0" applyFill="1" applyAlignment="1" applyProtection="1">
      <alignment horizontal="right"/>
      <protection hidden="1"/>
    </xf>
    <xf numFmtId="0" fontId="5" fillId="5" borderId="0" xfId="0" applyFont="1" applyFill="1" applyAlignment="1" applyProtection="1">
      <alignment horizontal="right"/>
      <protection hidden="1"/>
    </xf>
    <xf numFmtId="0" fontId="4" fillId="9" borderId="2" xfId="0" applyFont="1" applyFill="1" applyBorder="1" applyAlignment="1" applyProtection="1">
      <alignment horizontal="center"/>
      <protection locked="0" hidden="1"/>
    </xf>
    <xf numFmtId="0" fontId="12" fillId="9" borderId="2" xfId="0" applyFont="1" applyFill="1" applyBorder="1" applyAlignment="1" applyProtection="1">
      <alignment horizontal="center"/>
      <protection locked="0" hidden="1"/>
    </xf>
    <xf numFmtId="10" fontId="4" fillId="16" borderId="0" xfId="0" applyNumberFormat="1" applyFont="1" applyFill="1" applyProtection="1">
      <protection locked="0" hidden="1"/>
    </xf>
    <xf numFmtId="10" fontId="0" fillId="16" borderId="0" xfId="0" applyNumberFormat="1" applyFill="1" applyProtection="1">
      <protection locked="0" hidden="1"/>
    </xf>
    <xf numFmtId="10" fontId="0" fillId="6" borderId="0" xfId="3" applyNumberFormat="1" applyFont="1" applyFill="1" applyProtection="1">
      <protection locked="0" hidden="1"/>
    </xf>
    <xf numFmtId="10" fontId="0" fillId="12" borderId="0" xfId="3" applyNumberFormat="1" applyFont="1" applyFill="1" applyProtection="1">
      <protection locked="0" hidden="1"/>
    </xf>
    <xf numFmtId="0" fontId="4" fillId="16" borderId="0" xfId="0" applyFont="1" applyFill="1" applyProtection="1">
      <protection locked="0" hidden="1"/>
    </xf>
    <xf numFmtId="0" fontId="0" fillId="16" borderId="0" xfId="0" applyFill="1" applyProtection="1">
      <protection locked="0" hidden="1"/>
    </xf>
    <xf numFmtId="0" fontId="0" fillId="6" borderId="0" xfId="0" applyFill="1" applyProtection="1">
      <protection locked="0" hidden="1"/>
    </xf>
    <xf numFmtId="1" fontId="0" fillId="12" borderId="0" xfId="0" applyNumberFormat="1" applyFill="1" applyProtection="1">
      <protection locked="0" hidden="1"/>
    </xf>
    <xf numFmtId="2" fontId="0" fillId="6" borderId="0" xfId="0" applyNumberFormat="1" applyFill="1" applyProtection="1">
      <protection locked="0" hidden="1"/>
    </xf>
    <xf numFmtId="4" fontId="0" fillId="16" borderId="0" xfId="0" applyNumberFormat="1" applyFill="1" applyAlignment="1" applyProtection="1">
      <alignment horizontal="right"/>
      <protection locked="0" hidden="1"/>
    </xf>
    <xf numFmtId="4" fontId="0" fillId="6" borderId="0" xfId="0" applyNumberFormat="1" applyFill="1" applyAlignment="1" applyProtection="1">
      <alignment horizontal="right"/>
      <protection locked="0" hidden="1"/>
    </xf>
    <xf numFmtId="4" fontId="0" fillId="12" borderId="0" xfId="0" applyNumberFormat="1" applyFill="1" applyAlignment="1" applyProtection="1">
      <alignment horizontal="right"/>
      <protection locked="0" hidden="1"/>
    </xf>
    <xf numFmtId="2" fontId="4" fillId="16" borderId="0" xfId="0" applyNumberFormat="1" applyFont="1" applyFill="1" applyProtection="1">
      <protection locked="0" hidden="1"/>
    </xf>
    <xf numFmtId="2" fontId="4" fillId="6" borderId="0" xfId="0" applyNumberFormat="1" applyFont="1" applyFill="1" applyProtection="1">
      <protection locked="0" hidden="1"/>
    </xf>
    <xf numFmtId="2" fontId="4" fillId="12" borderId="0" xfId="0" applyNumberFormat="1" applyFont="1" applyFill="1" applyProtection="1">
      <protection locked="0" hidden="1"/>
    </xf>
    <xf numFmtId="0" fontId="0" fillId="5" borderId="0" xfId="0" applyFill="1" applyProtection="1">
      <protection locked="0" hidden="1"/>
    </xf>
    <xf numFmtId="0" fontId="0" fillId="12" borderId="0" xfId="0" applyFill="1" applyProtection="1">
      <protection locked="0" hidden="1"/>
    </xf>
    <xf numFmtId="0" fontId="4" fillId="16" borderId="0" xfId="0" applyFont="1" applyFill="1" applyAlignment="1" applyProtection="1">
      <alignment horizontal="center"/>
      <protection hidden="1"/>
    </xf>
    <xf numFmtId="0" fontId="4" fillId="6" borderId="0" xfId="0" applyFont="1" applyFill="1" applyAlignment="1" applyProtection="1">
      <alignment horizontal="center"/>
      <protection hidden="1"/>
    </xf>
    <xf numFmtId="0" fontId="4" fillId="12" borderId="0" xfId="0" applyFont="1" applyFill="1" applyAlignment="1" applyProtection="1">
      <alignment horizontal="center"/>
      <protection hidden="1"/>
    </xf>
    <xf numFmtId="0" fontId="26" fillId="0" borderId="0" xfId="0" applyFont="1" applyAlignment="1">
      <alignment horizontal="left" vertical="center" wrapText="1" readingOrder="1"/>
    </xf>
    <xf numFmtId="0" fontId="26" fillId="0" borderId="30" xfId="0" applyFont="1" applyBorder="1" applyAlignment="1">
      <alignment horizontal="left" vertical="center" wrapText="1" readingOrder="1"/>
    </xf>
    <xf numFmtId="0" fontId="25" fillId="5" borderId="0" xfId="0" applyFont="1" applyFill="1" applyAlignment="1">
      <alignment horizontal="center"/>
    </xf>
    <xf numFmtId="0" fontId="4" fillId="11" borderId="0" xfId="0" applyFont="1" applyFill="1" applyAlignment="1">
      <alignment horizontal="center"/>
    </xf>
    <xf numFmtId="0" fontId="4" fillId="6" borderId="0" xfId="0" applyFont="1" applyFill="1" applyAlignment="1">
      <alignment horizontal="center"/>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4" fillId="5" borderId="2" xfId="0" applyFont="1" applyFill="1" applyBorder="1" applyAlignment="1">
      <alignment horizontal="center"/>
    </xf>
    <xf numFmtId="0" fontId="0" fillId="0" borderId="0" xfId="0"/>
    <xf numFmtId="0" fontId="9" fillId="5" borderId="0" xfId="0" applyFont="1" applyFill="1" applyAlignment="1">
      <alignment horizontal="center"/>
    </xf>
    <xf numFmtId="0" fontId="4" fillId="0" borderId="0" xfId="0" applyFont="1" applyAlignment="1">
      <alignment horizontal="center"/>
    </xf>
    <xf numFmtId="0" fontId="9" fillId="0" borderId="0" xfId="0" applyFont="1" applyAlignment="1">
      <alignment horizontal="center"/>
    </xf>
    <xf numFmtId="0" fontId="4" fillId="0" borderId="2" xfId="0" applyFont="1" applyBorder="1" applyAlignment="1">
      <alignment horizontal="center"/>
    </xf>
    <xf numFmtId="0" fontId="11" fillId="5" borderId="0" xfId="0" applyFont="1" applyFill="1" applyAlignment="1">
      <alignment horizontal="center" wrapText="1"/>
    </xf>
    <xf numFmtId="0" fontId="11" fillId="5" borderId="0" xfId="0" applyFont="1" applyFill="1" applyAlignment="1">
      <alignment horizontal="center"/>
    </xf>
    <xf numFmtId="0" fontId="6" fillId="2" borderId="0" xfId="0" applyFont="1" applyFill="1" applyAlignment="1">
      <alignment horizontal="left" vertical="top" wrapText="1"/>
    </xf>
  </cellXfs>
  <cellStyles count="6">
    <cellStyle name="60% - Accent3" xfId="5" builtinId="40"/>
    <cellStyle name="Accent1" xfId="4" builtinId="29"/>
    <cellStyle name="Comma" xfId="1" builtinId="3"/>
    <cellStyle name="Hyperlink" xfId="2" builtinId="8"/>
    <cellStyle name="Normal" xfId="0" builtinId="0"/>
    <cellStyle name="Percent" xfId="3" builtinId="5"/>
  </cellStyles>
  <dxfs count="6">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1" defaultTableStyle="TableStyleMedium2" defaultPivotStyle="PivotStyleMedium9">
    <tableStyle name="IRENA report 2016" pivot="0" count="0" xr9:uid="{00000000-0011-0000-FFFF-FFFF00000000}"/>
  </tableStyles>
  <colors>
    <mruColors>
      <color rgb="FF163E64"/>
      <color rgb="FF67BBA3"/>
      <color rgb="FF59BBF7"/>
      <color rgb="FF59A3BD"/>
      <color rgb="FF66FF33"/>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8" Type="http://schemas.openxmlformats.org/officeDocument/2006/relationships/customXml" Target="../customXml/item3.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de-DE"/>
              <a:t>Cost of Service: Intraday Trading</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Visualization!$B$6</c:f>
              <c:strCache>
                <c:ptCount val="1"/>
                <c:pt idx="0">
                  <c:v>Pumped Hydro</c:v>
                </c:pt>
              </c:strCache>
            </c:strRef>
          </c:tx>
          <c:spPr>
            <a:solidFill>
              <a:schemeClr val="accent1"/>
            </a:solidFill>
            <a:ln>
              <a:noFill/>
            </a:ln>
            <a:effectLst/>
          </c:spPr>
          <c:invertIfNegative val="0"/>
          <c:cat>
            <c:numRef>
              <c:f>Visualization!$C$5:$E$5</c:f>
              <c:numCache>
                <c:formatCode>General</c:formatCode>
                <c:ptCount val="3"/>
                <c:pt idx="0">
                  <c:v>2016</c:v>
                </c:pt>
                <c:pt idx="1">
                  <c:v>2025</c:v>
                </c:pt>
                <c:pt idx="2">
                  <c:v>2030</c:v>
                </c:pt>
              </c:numCache>
            </c:numRef>
          </c:cat>
          <c:val>
            <c:numRef>
              <c:f>Visualization!$C$6:$E$6</c:f>
              <c:numCache>
                <c:formatCode>0.00</c:formatCode>
                <c:ptCount val="3"/>
                <c:pt idx="0">
                  <c:v>2.9853569866514134</c:v>
                </c:pt>
                <c:pt idx="1">
                  <c:v>3.6074904526173142</c:v>
                </c:pt>
                <c:pt idx="2">
                  <c:v>3.6074904526173142</c:v>
                </c:pt>
              </c:numCache>
            </c:numRef>
          </c:val>
          <c:extLst>
            <c:ext xmlns:c16="http://schemas.microsoft.com/office/drawing/2014/chart" uri="{C3380CC4-5D6E-409C-BE32-E72D297353CC}">
              <c16:uniqueId val="{00000000-FE07-403E-A3FE-ED279BF8987F}"/>
            </c:ext>
          </c:extLst>
        </c:ser>
        <c:ser>
          <c:idx val="1"/>
          <c:order val="1"/>
          <c:tx>
            <c:strRef>
              <c:f>Visualization!$B$7</c:f>
              <c:strCache>
                <c:ptCount val="1"/>
                <c:pt idx="0">
                  <c:v>CAES</c:v>
                </c:pt>
              </c:strCache>
            </c:strRef>
          </c:tx>
          <c:spPr>
            <a:solidFill>
              <a:schemeClr val="accent3"/>
            </a:solidFill>
            <a:ln>
              <a:noFill/>
            </a:ln>
            <a:effectLst/>
          </c:spPr>
          <c:invertIfNegative val="0"/>
          <c:cat>
            <c:numRef>
              <c:f>Visualization!$C$5:$E$5</c:f>
              <c:numCache>
                <c:formatCode>General</c:formatCode>
                <c:ptCount val="3"/>
                <c:pt idx="0">
                  <c:v>2016</c:v>
                </c:pt>
                <c:pt idx="1">
                  <c:v>2025</c:v>
                </c:pt>
                <c:pt idx="2">
                  <c:v>2030</c:v>
                </c:pt>
              </c:numCache>
            </c:numRef>
          </c:cat>
          <c:val>
            <c:numRef>
              <c:f>Visualization!$C$7:$E$7</c:f>
              <c:numCache>
                <c:formatCode>0.00</c:formatCode>
                <c:ptCount val="3"/>
                <c:pt idx="0">
                  <c:v>7.058981602008739</c:v>
                </c:pt>
                <c:pt idx="1">
                  <c:v>6.0296116641782138</c:v>
                </c:pt>
                <c:pt idx="2">
                  <c:v>6.0158909676127017</c:v>
                </c:pt>
              </c:numCache>
            </c:numRef>
          </c:val>
          <c:extLst>
            <c:ext xmlns:c16="http://schemas.microsoft.com/office/drawing/2014/chart" uri="{C3380CC4-5D6E-409C-BE32-E72D297353CC}">
              <c16:uniqueId val="{00000001-FE07-403E-A3FE-ED279BF8987F}"/>
            </c:ext>
          </c:extLst>
        </c:ser>
        <c:ser>
          <c:idx val="2"/>
          <c:order val="2"/>
          <c:tx>
            <c:strRef>
              <c:f>Visualization!$B$8</c:f>
              <c:strCache>
                <c:ptCount val="1"/>
                <c:pt idx="0">
                  <c:v>Vanadium Flow</c:v>
                </c:pt>
              </c:strCache>
            </c:strRef>
          </c:tx>
          <c:spPr>
            <a:solidFill>
              <a:schemeClr val="accent5"/>
            </a:solidFill>
            <a:ln>
              <a:noFill/>
            </a:ln>
            <a:effectLst/>
          </c:spPr>
          <c:invertIfNegative val="0"/>
          <c:cat>
            <c:numRef>
              <c:f>Visualization!$C$5:$E$5</c:f>
              <c:numCache>
                <c:formatCode>General</c:formatCode>
                <c:ptCount val="3"/>
                <c:pt idx="0">
                  <c:v>2016</c:v>
                </c:pt>
                <c:pt idx="1">
                  <c:v>2025</c:v>
                </c:pt>
                <c:pt idx="2">
                  <c:v>2030</c:v>
                </c:pt>
              </c:numCache>
            </c:numRef>
          </c:cat>
          <c:val>
            <c:numRef>
              <c:f>Visualization!$C$8:$E$8</c:f>
              <c:numCache>
                <c:formatCode>0.00</c:formatCode>
                <c:ptCount val="3"/>
                <c:pt idx="0">
                  <c:v>27.93251769565029</c:v>
                </c:pt>
                <c:pt idx="1">
                  <c:v>21.614610379397575</c:v>
                </c:pt>
                <c:pt idx="2">
                  <c:v>18.389577423939471</c:v>
                </c:pt>
              </c:numCache>
            </c:numRef>
          </c:val>
          <c:extLst>
            <c:ext xmlns:c16="http://schemas.microsoft.com/office/drawing/2014/chart" uri="{C3380CC4-5D6E-409C-BE32-E72D297353CC}">
              <c16:uniqueId val="{00000002-FE07-403E-A3FE-ED279BF8987F}"/>
            </c:ext>
          </c:extLst>
        </c:ser>
        <c:ser>
          <c:idx val="3"/>
          <c:order val="3"/>
          <c:tx>
            <c:strRef>
              <c:f>Visualization!$B$9</c:f>
              <c:strCache>
                <c:ptCount val="1"/>
                <c:pt idx="0">
                  <c:v>Li-Ion (LFP)</c:v>
                </c:pt>
              </c:strCache>
            </c:strRef>
          </c:tx>
          <c:spPr>
            <a:solidFill>
              <a:schemeClr val="accent1">
                <a:lumMod val="60000"/>
              </a:schemeClr>
            </a:solidFill>
            <a:ln>
              <a:noFill/>
            </a:ln>
            <a:effectLst/>
          </c:spPr>
          <c:invertIfNegative val="0"/>
          <c:cat>
            <c:numRef>
              <c:f>Visualization!$C$5:$E$5</c:f>
              <c:numCache>
                <c:formatCode>General</c:formatCode>
                <c:ptCount val="3"/>
                <c:pt idx="0">
                  <c:v>2016</c:v>
                </c:pt>
                <c:pt idx="1">
                  <c:v>2025</c:v>
                </c:pt>
                <c:pt idx="2">
                  <c:v>2030</c:v>
                </c:pt>
              </c:numCache>
            </c:numRef>
          </c:cat>
          <c:val>
            <c:numRef>
              <c:f>Visualization!$C$9:$E$9</c:f>
              <c:numCache>
                <c:formatCode>0.00</c:formatCode>
                <c:ptCount val="3"/>
                <c:pt idx="0">
                  <c:v>22.79089413382026</c:v>
                </c:pt>
                <c:pt idx="1">
                  <c:v>5.2315485930678962</c:v>
                </c:pt>
                <c:pt idx="2">
                  <c:v>2.634541543469791</c:v>
                </c:pt>
              </c:numCache>
            </c:numRef>
          </c:val>
          <c:extLst>
            <c:ext xmlns:c16="http://schemas.microsoft.com/office/drawing/2014/chart" uri="{C3380CC4-5D6E-409C-BE32-E72D297353CC}">
              <c16:uniqueId val="{00000003-FE07-403E-A3FE-ED279BF8987F}"/>
            </c:ext>
          </c:extLst>
        </c:ser>
        <c:ser>
          <c:idx val="4"/>
          <c:order val="4"/>
          <c:tx>
            <c:strRef>
              <c:f>Visualization!$B$10</c:f>
              <c:strCache>
                <c:ptCount val="1"/>
                <c:pt idx="0">
                  <c:v>SIB (Layered oxide)</c:v>
                </c:pt>
              </c:strCache>
            </c:strRef>
          </c:tx>
          <c:spPr>
            <a:solidFill>
              <a:schemeClr val="accent3">
                <a:lumMod val="60000"/>
              </a:schemeClr>
            </a:solidFill>
            <a:ln>
              <a:noFill/>
            </a:ln>
            <a:effectLst/>
          </c:spPr>
          <c:invertIfNegative val="0"/>
          <c:cat>
            <c:numRef>
              <c:f>Visualization!$C$5:$E$5</c:f>
              <c:numCache>
                <c:formatCode>General</c:formatCode>
                <c:ptCount val="3"/>
                <c:pt idx="0">
                  <c:v>2016</c:v>
                </c:pt>
                <c:pt idx="1">
                  <c:v>2025</c:v>
                </c:pt>
                <c:pt idx="2">
                  <c:v>2030</c:v>
                </c:pt>
              </c:numCache>
            </c:numRef>
          </c:cat>
          <c:val>
            <c:numRef>
              <c:f>Visualization!$C$10:$E$10</c:f>
              <c:numCache>
                <c:formatCode>0.00</c:formatCode>
                <c:ptCount val="3"/>
                <c:pt idx="0">
                  <c:v>#N/A</c:v>
                </c:pt>
                <c:pt idx="1">
                  <c:v>15.693636114470193</c:v>
                </c:pt>
                <c:pt idx="2">
                  <c:v>13.364835545000142</c:v>
                </c:pt>
              </c:numCache>
            </c:numRef>
          </c:val>
          <c:extLst>
            <c:ext xmlns:c16="http://schemas.microsoft.com/office/drawing/2014/chart" uri="{C3380CC4-5D6E-409C-BE32-E72D297353CC}">
              <c16:uniqueId val="{00000001-9C8E-48D8-8312-4E51777B98C6}"/>
            </c:ext>
          </c:extLst>
        </c:ser>
        <c:dLbls>
          <c:showLegendKey val="0"/>
          <c:showVal val="0"/>
          <c:showCatName val="0"/>
          <c:showSerName val="0"/>
          <c:showPercent val="0"/>
          <c:showBubbleSize val="0"/>
        </c:dLbls>
        <c:gapWidth val="150"/>
        <c:axId val="92644864"/>
        <c:axId val="92646400"/>
      </c:barChart>
      <c:catAx>
        <c:axId val="92644864"/>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92646400"/>
        <c:crosses val="autoZero"/>
        <c:auto val="1"/>
        <c:lblAlgn val="ctr"/>
        <c:lblOffset val="100"/>
        <c:noMultiLvlLbl val="0"/>
      </c:catAx>
      <c:valAx>
        <c:axId val="92646400"/>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USD cents per kWh</a:t>
                </a:r>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de-DE"/>
            </a:p>
          </c:txPr>
        </c:title>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92644864"/>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r>
              <a:rPr lang="de-DE"/>
              <a:t>Cost of Service </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n-US"/>
        </a:p>
      </c:txPr>
    </c:title>
    <c:autoTitleDeleted val="0"/>
    <c:plotArea>
      <c:layout/>
      <c:lineChart>
        <c:grouping val="standard"/>
        <c:varyColors val="0"/>
        <c:ser>
          <c:idx val="0"/>
          <c:order val="0"/>
          <c:tx>
            <c:strRef>
              <c:f>Visualization!$B$26</c:f>
              <c:strCache>
                <c:ptCount val="1"/>
                <c:pt idx="0">
                  <c:v>Best</c:v>
                </c:pt>
              </c:strCache>
            </c:strRef>
          </c:tx>
          <c:spPr>
            <a:ln w="28575" cap="rnd" cmpd="sng" algn="ctr">
              <a:solidFill>
                <a:schemeClr val="accent1">
                  <a:shade val="95000"/>
                  <a:satMod val="105000"/>
                </a:schemeClr>
              </a:solidFill>
              <a:prstDash val="solid"/>
              <a:round/>
            </a:ln>
            <a:effectLst/>
          </c:spPr>
          <c:marker>
            <c:symbol val="none"/>
          </c:marker>
          <c:cat>
            <c:numRef>
              <c:f>Visualization!$C$25:$E$25</c:f>
              <c:numCache>
                <c:formatCode>General</c:formatCode>
                <c:ptCount val="3"/>
                <c:pt idx="0">
                  <c:v>2016</c:v>
                </c:pt>
                <c:pt idx="1">
                  <c:v>2025</c:v>
                </c:pt>
                <c:pt idx="2">
                  <c:v>2030</c:v>
                </c:pt>
              </c:numCache>
            </c:numRef>
          </c:cat>
          <c:val>
            <c:numRef>
              <c:f>Visualization!$C$26:$E$26</c:f>
              <c:numCache>
                <c:formatCode>0.00</c:formatCode>
                <c:ptCount val="3"/>
                <c:pt idx="0">
                  <c:v>3.7051009168220035</c:v>
                </c:pt>
                <c:pt idx="1">
                  <c:v>1.4004050340241758</c:v>
                </c:pt>
                <c:pt idx="2">
                  <c:v>0.8895780575260348</c:v>
                </c:pt>
              </c:numCache>
            </c:numRef>
          </c:val>
          <c:smooth val="0"/>
          <c:extLst>
            <c:ext xmlns:c16="http://schemas.microsoft.com/office/drawing/2014/chart" uri="{C3380CC4-5D6E-409C-BE32-E72D297353CC}">
              <c16:uniqueId val="{00000000-ABFB-408C-9BE5-FB9AB4715467}"/>
            </c:ext>
          </c:extLst>
        </c:ser>
        <c:ser>
          <c:idx val="1"/>
          <c:order val="1"/>
          <c:tx>
            <c:strRef>
              <c:f>Visualization!$B$27</c:f>
              <c:strCache>
                <c:ptCount val="1"/>
                <c:pt idx="0">
                  <c:v>Worst</c:v>
                </c:pt>
              </c:strCache>
            </c:strRef>
          </c:tx>
          <c:spPr>
            <a:ln w="28575" cap="rnd" cmpd="sng" algn="ctr">
              <a:solidFill>
                <a:schemeClr val="accent3">
                  <a:shade val="95000"/>
                  <a:satMod val="105000"/>
                </a:schemeClr>
              </a:solidFill>
              <a:prstDash val="solid"/>
              <a:round/>
            </a:ln>
            <a:effectLst/>
          </c:spPr>
          <c:marker>
            <c:symbol val="none"/>
          </c:marker>
          <c:cat>
            <c:numRef>
              <c:f>Visualization!$C$25:$E$25</c:f>
              <c:numCache>
                <c:formatCode>General</c:formatCode>
                <c:ptCount val="3"/>
                <c:pt idx="0">
                  <c:v>2016</c:v>
                </c:pt>
                <c:pt idx="1">
                  <c:v>2025</c:v>
                </c:pt>
                <c:pt idx="2">
                  <c:v>2030</c:v>
                </c:pt>
              </c:numCache>
            </c:numRef>
          </c:cat>
          <c:val>
            <c:numRef>
              <c:f>Visualization!$C$27:$E$27</c:f>
              <c:numCache>
                <c:formatCode>0.00</c:formatCode>
                <c:ptCount val="3"/>
                <c:pt idx="0">
                  <c:v>64.699201327224728</c:v>
                </c:pt>
                <c:pt idx="1">
                  <c:v>13.197206498698709</c:v>
                </c:pt>
                <c:pt idx="2">
                  <c:v>6.2600788999606065</c:v>
                </c:pt>
              </c:numCache>
            </c:numRef>
          </c:val>
          <c:smooth val="0"/>
          <c:extLst>
            <c:ext xmlns:c16="http://schemas.microsoft.com/office/drawing/2014/chart" uri="{C3380CC4-5D6E-409C-BE32-E72D297353CC}">
              <c16:uniqueId val="{00000001-ABFB-408C-9BE5-FB9AB4715467}"/>
            </c:ext>
          </c:extLst>
        </c:ser>
        <c:ser>
          <c:idx val="2"/>
          <c:order val="2"/>
          <c:tx>
            <c:strRef>
              <c:f>Visualization!$B$28</c:f>
              <c:strCache>
                <c:ptCount val="1"/>
                <c:pt idx="0">
                  <c:v>Reference</c:v>
                </c:pt>
              </c:strCache>
            </c:strRef>
          </c:tx>
          <c:spPr>
            <a:ln w="28575" cap="rnd" cmpd="sng" algn="ctr">
              <a:solidFill>
                <a:schemeClr val="accent5">
                  <a:shade val="95000"/>
                  <a:satMod val="105000"/>
                </a:schemeClr>
              </a:solidFill>
              <a:prstDash val="solid"/>
              <a:round/>
            </a:ln>
            <a:effectLst/>
          </c:spPr>
          <c:marker>
            <c:symbol val="none"/>
          </c:marker>
          <c:cat>
            <c:numRef>
              <c:f>Visualization!$C$25:$E$25</c:f>
              <c:numCache>
                <c:formatCode>General</c:formatCode>
                <c:ptCount val="3"/>
                <c:pt idx="0">
                  <c:v>2016</c:v>
                </c:pt>
                <c:pt idx="1">
                  <c:v>2025</c:v>
                </c:pt>
                <c:pt idx="2">
                  <c:v>2030</c:v>
                </c:pt>
              </c:numCache>
            </c:numRef>
          </c:cat>
          <c:val>
            <c:numRef>
              <c:f>Visualization!$C$28:$E$28</c:f>
              <c:numCache>
                <c:formatCode>0.00</c:formatCode>
                <c:ptCount val="3"/>
                <c:pt idx="0">
                  <c:v>20.557384479340168</c:v>
                </c:pt>
                <c:pt idx="1">
                  <c:v>4.9443925811472544</c:v>
                </c:pt>
                <c:pt idx="2">
                  <c:v>2.6718580442020419</c:v>
                </c:pt>
              </c:numCache>
            </c:numRef>
          </c:val>
          <c:smooth val="0"/>
          <c:extLst>
            <c:ext xmlns:c16="http://schemas.microsoft.com/office/drawing/2014/chart" uri="{C3380CC4-5D6E-409C-BE32-E72D297353CC}">
              <c16:uniqueId val="{00000002-ABFB-408C-9BE5-FB9AB4715467}"/>
            </c:ext>
          </c:extLst>
        </c:ser>
        <c:dLbls>
          <c:showLegendKey val="0"/>
          <c:showVal val="0"/>
          <c:showCatName val="0"/>
          <c:showSerName val="0"/>
          <c:showPercent val="0"/>
          <c:showBubbleSize val="0"/>
        </c:dLbls>
        <c:smooth val="0"/>
        <c:axId val="92681344"/>
        <c:axId val="92682880"/>
      </c:lineChart>
      <c:catAx>
        <c:axId val="92681344"/>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92682880"/>
        <c:crosses val="autoZero"/>
        <c:auto val="1"/>
        <c:lblAlgn val="ctr"/>
        <c:lblOffset val="100"/>
        <c:noMultiLvlLbl val="0"/>
      </c:catAx>
      <c:valAx>
        <c:axId val="92682880"/>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title>
          <c:tx>
            <c:rich>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r>
                  <a:rPr lang="en-US"/>
                  <a:t>USD</a:t>
                </a:r>
                <a:r>
                  <a:rPr lang="en-US" baseline="0"/>
                  <a:t> cents per kWh</a:t>
                </a:r>
                <a:endParaRPr lang="en-US"/>
              </a:p>
            </c:rich>
          </c:tx>
          <c:overlay val="0"/>
          <c:spPr>
            <a:noFill/>
            <a:ln>
              <a:noFill/>
            </a:ln>
            <a:effectLst/>
          </c:spPr>
          <c:txPr>
            <a:bodyPr rot="-5400000" spcFirstLastPara="1" vertOverflow="ellipsis" vert="horz" wrap="square" anchor="ctr" anchorCtr="1"/>
            <a:lstStyle/>
            <a:p>
              <a:pPr>
                <a:defRPr sz="1000" b="1" i="0" u="none" strike="noStrike" kern="1200" baseline="0">
                  <a:solidFill>
                    <a:schemeClr val="tx1"/>
                  </a:solidFill>
                  <a:latin typeface="+mn-lt"/>
                  <a:ea typeface="+mn-ea"/>
                  <a:cs typeface="+mn-cs"/>
                </a:defRPr>
              </a:pPr>
              <a:endParaRPr lang="en-US"/>
            </a:p>
          </c:txPr>
        </c:title>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crossAx val="92681344"/>
        <c:crosses val="autoZero"/>
        <c:crossBetween val="between"/>
      </c:valAx>
      <c:spPr>
        <a:solidFill>
          <a:schemeClr val="bg1"/>
        </a:solid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n-US"/>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5"/>
    </mc:Choice>
    <mc:Fallback>
      <c:style val="15"/>
    </mc:Fallback>
  </mc:AlternateContent>
  <c:chart>
    <c:title>
      <c:tx>
        <c:rich>
          <a:bodyPr/>
          <a:lstStyle/>
          <a:p>
            <a:pPr>
              <a:defRPr/>
            </a:pPr>
            <a:r>
              <a:rPr lang="de-DE"/>
              <a:t>Composition of the annuities</a:t>
            </a:r>
          </a:p>
        </c:rich>
      </c:tx>
      <c:overlay val="0"/>
    </c:title>
    <c:autoTitleDeleted val="0"/>
    <c:plotArea>
      <c:layout/>
      <c:doughnutChart>
        <c:varyColors val="1"/>
        <c:ser>
          <c:idx val="0"/>
          <c:order val="0"/>
          <c:dLbls>
            <c:dLbl>
              <c:idx val="0"/>
              <c:layout>
                <c:manualLayout>
                  <c:x val="0.13521973739688156"/>
                  <c:y val="0.1011235827247402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6BA-4767-ADC8-1DB4F73E5D4A}"/>
                </c:ext>
              </c:extLst>
            </c:dLbl>
            <c:dLbl>
              <c:idx val="1"/>
              <c:layout>
                <c:manualLayout>
                  <c:x val="-0.16677100945615403"/>
                  <c:y val="0.1107544001270964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6BA-4767-ADC8-1DB4F73E5D4A}"/>
                </c:ext>
              </c:extLst>
            </c:dLbl>
            <c:dLbl>
              <c:idx val="2"/>
              <c:layout>
                <c:manualLayout>
                  <c:x val="-0.19156129464558233"/>
                  <c:y val="-1.4498456815218229E-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6BA-4767-ADC8-1DB4F73E5D4A}"/>
                </c:ext>
              </c:extLst>
            </c:dLbl>
            <c:dLbl>
              <c:idx val="3"/>
              <c:layout>
                <c:manualLayout>
                  <c:x val="-0.12620508823708954"/>
                  <c:y val="-0.13001603493180888"/>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6BA-4767-ADC8-1DB4F73E5D4A}"/>
                </c:ext>
              </c:extLst>
            </c:dLbl>
            <c:dLbl>
              <c:idx val="4"/>
              <c:layout>
                <c:manualLayout>
                  <c:x val="0.13296607510693353"/>
                  <c:y val="-0.1011235827247402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6BA-4767-ADC8-1DB4F73E5D4A}"/>
                </c:ext>
              </c:extLst>
            </c:dLbl>
            <c:spPr>
              <a:solidFill>
                <a:sysClr val="window" lastClr="FFFFFF"/>
              </a:solidFill>
              <a:ln>
                <a:solidFill>
                  <a:sysClr val="windowText" lastClr="000000">
                    <a:lumMod val="65000"/>
                    <a:lumOff val="35000"/>
                  </a:sysClr>
                </a:solidFill>
              </a:ln>
              <a:effectLst/>
            </c:spPr>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c15:spPr>
              </c:ext>
            </c:extLst>
          </c:dLbls>
          <c:cat>
            <c:strRef>
              <c:f>'Cost-of-Service'!$B$122:$B$126</c:f>
              <c:strCache>
                <c:ptCount val="5"/>
                <c:pt idx="0">
                  <c:v>Capital</c:v>
                </c:pt>
                <c:pt idx="1">
                  <c:v>Financing</c:v>
                </c:pt>
                <c:pt idx="2">
                  <c:v>Maintenance</c:v>
                </c:pt>
                <c:pt idx="3">
                  <c:v>Efficiency losses</c:v>
                </c:pt>
                <c:pt idx="4">
                  <c:v>Self-discharge</c:v>
                </c:pt>
              </c:strCache>
            </c:strRef>
          </c:cat>
          <c:val>
            <c:numRef>
              <c:f>'Cost-of-Service'!$E$122:$E$126</c:f>
              <c:numCache>
                <c:formatCode>#,##0.0</c:formatCode>
                <c:ptCount val="5"/>
                <c:pt idx="0">
                  <c:v>384003250</c:v>
                </c:pt>
                <c:pt idx="1">
                  <c:v>591749326.24875176</c:v>
                </c:pt>
                <c:pt idx="2">
                  <c:v>69798985</c:v>
                </c:pt>
                <c:pt idx="3">
                  <c:v>102196349.99999999</c:v>
                </c:pt>
                <c:pt idx="4">
                  <c:v>279225</c:v>
                </c:pt>
              </c:numCache>
            </c:numRef>
          </c:val>
          <c:extLst>
            <c:ext xmlns:c16="http://schemas.microsoft.com/office/drawing/2014/chart" uri="{C3380CC4-5D6E-409C-BE32-E72D297353CC}">
              <c16:uniqueId val="{00000000-F6BA-4767-ADC8-1DB4F73E5D4A}"/>
            </c:ext>
          </c:extLst>
        </c:ser>
        <c:dLbls>
          <c:showLegendKey val="0"/>
          <c:showVal val="0"/>
          <c:showCatName val="0"/>
          <c:showSerName val="0"/>
          <c:showPercent val="0"/>
          <c:showBubbleSize val="0"/>
          <c:showLeaderLines val="0"/>
        </c:dLbls>
        <c:firstSliceAng val="0"/>
        <c:holeSize val="50"/>
      </c:doughnutChart>
    </c:plotArea>
    <c:legend>
      <c:legendPos val="r"/>
      <c:overlay val="0"/>
      <c:txPr>
        <a:bodyPr/>
        <a:lstStyle/>
        <a:p>
          <a:pPr>
            <a:defRPr sz="1200"/>
          </a:pPr>
          <a:endParaRPr lang="de-DE"/>
        </a:p>
      </c:txPr>
    </c:legend>
    <c:plotVisOnly val="1"/>
    <c:dispBlanksAs val="gap"/>
    <c:showDLblsOverMax val="0"/>
  </c:chart>
  <c:spPr>
    <a:ln>
      <a:noFill/>
    </a:ln>
  </c:sp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latin typeface="Arial" panose="020B0604020202020204" pitchFamily="34" charset="0"/>
                <a:cs typeface="Arial" panose="020B0604020202020204" pitchFamily="34" charset="0"/>
              </a:rPr>
              <a:t>Wöhler-Curve</a:t>
            </a:r>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de-DE"/>
        </a:p>
      </c:txPr>
    </c:title>
    <c:autoTitleDeleted val="0"/>
    <c:plotArea>
      <c:layout/>
      <c:scatterChart>
        <c:scatterStyle val="smoothMarker"/>
        <c:varyColors val="0"/>
        <c:ser>
          <c:idx val="1"/>
          <c:order val="0"/>
          <c:tx>
            <c:v>Zyklen</c:v>
          </c:tx>
          <c:spPr>
            <a:ln w="28575" cap="rnd">
              <a:solidFill>
                <a:schemeClr val="accent2"/>
              </a:solidFill>
              <a:round/>
            </a:ln>
            <a:effectLst/>
          </c:spPr>
          <c:marker>
            <c:symbol val="circle"/>
            <c:size val="5"/>
            <c:spPr>
              <a:solidFill>
                <a:schemeClr val="accent2"/>
              </a:solidFill>
              <a:ln w="9525">
                <a:solidFill>
                  <a:schemeClr val="accent2"/>
                </a:solidFill>
              </a:ln>
              <a:effectLst/>
            </c:spPr>
          </c:marker>
          <c:xVal>
            <c:numRef>
              <c:f>'Wohler-Curve'!$C$10:$C$29</c:f>
              <c:numCache>
                <c:formatCode>General</c:formatCode>
                <c:ptCount val="20"/>
                <c:pt idx="0">
                  <c:v>5</c:v>
                </c:pt>
                <c:pt idx="1">
                  <c:v>10</c:v>
                </c:pt>
                <c:pt idx="2">
                  <c:v>15</c:v>
                </c:pt>
                <c:pt idx="3">
                  <c:v>20</c:v>
                </c:pt>
                <c:pt idx="4">
                  <c:v>25</c:v>
                </c:pt>
                <c:pt idx="5">
                  <c:v>30</c:v>
                </c:pt>
                <c:pt idx="6">
                  <c:v>35</c:v>
                </c:pt>
                <c:pt idx="7">
                  <c:v>40</c:v>
                </c:pt>
                <c:pt idx="8">
                  <c:v>45</c:v>
                </c:pt>
                <c:pt idx="9">
                  <c:v>50</c:v>
                </c:pt>
                <c:pt idx="10">
                  <c:v>55</c:v>
                </c:pt>
                <c:pt idx="11">
                  <c:v>60</c:v>
                </c:pt>
                <c:pt idx="12">
                  <c:v>65</c:v>
                </c:pt>
                <c:pt idx="13">
                  <c:v>70</c:v>
                </c:pt>
                <c:pt idx="14">
                  <c:v>75</c:v>
                </c:pt>
                <c:pt idx="15">
                  <c:v>80</c:v>
                </c:pt>
                <c:pt idx="16">
                  <c:v>85</c:v>
                </c:pt>
                <c:pt idx="17">
                  <c:v>90</c:v>
                </c:pt>
                <c:pt idx="18">
                  <c:v>95</c:v>
                </c:pt>
                <c:pt idx="19">
                  <c:v>100</c:v>
                </c:pt>
              </c:numCache>
            </c:numRef>
          </c:xVal>
          <c:yVal>
            <c:numRef>
              <c:f>'Wohler-Curve'!$D$10:$D$29</c:f>
              <c:numCache>
                <c:formatCode>0.00</c:formatCode>
                <c:ptCount val="20"/>
                <c:pt idx="0">
                  <c:v>199999.99999999997</c:v>
                </c:pt>
                <c:pt idx="1">
                  <c:v>99999.999999999985</c:v>
                </c:pt>
                <c:pt idx="2">
                  <c:v>66666.666666666672</c:v>
                </c:pt>
                <c:pt idx="3">
                  <c:v>49999.999999999993</c:v>
                </c:pt>
                <c:pt idx="4">
                  <c:v>40000</c:v>
                </c:pt>
                <c:pt idx="5">
                  <c:v>33333.333333333336</c:v>
                </c:pt>
                <c:pt idx="6">
                  <c:v>28571.428571428576</c:v>
                </c:pt>
                <c:pt idx="7">
                  <c:v>24999.999999999996</c:v>
                </c:pt>
                <c:pt idx="8">
                  <c:v>22222.222222222219</c:v>
                </c:pt>
                <c:pt idx="9">
                  <c:v>20000</c:v>
                </c:pt>
                <c:pt idx="10">
                  <c:v>18181.81818181818</c:v>
                </c:pt>
                <c:pt idx="11">
                  <c:v>16666.666666666668</c:v>
                </c:pt>
                <c:pt idx="12">
                  <c:v>15384.615384615383</c:v>
                </c:pt>
                <c:pt idx="13">
                  <c:v>14285.714285714288</c:v>
                </c:pt>
                <c:pt idx="14">
                  <c:v>13333.333333333332</c:v>
                </c:pt>
                <c:pt idx="15">
                  <c:v>12499.999999999998</c:v>
                </c:pt>
                <c:pt idx="16">
                  <c:v>11764.705882352942</c:v>
                </c:pt>
                <c:pt idx="17">
                  <c:v>11111.111111111109</c:v>
                </c:pt>
                <c:pt idx="18">
                  <c:v>10526.315789473685</c:v>
                </c:pt>
                <c:pt idx="19">
                  <c:v>10000</c:v>
                </c:pt>
              </c:numCache>
            </c:numRef>
          </c:yVal>
          <c:smooth val="1"/>
          <c:extLst>
            <c:ext xmlns:c16="http://schemas.microsoft.com/office/drawing/2014/chart" uri="{C3380CC4-5D6E-409C-BE32-E72D297353CC}">
              <c16:uniqueId val="{00000000-9A25-489B-92E0-842B14F23F96}"/>
            </c:ext>
          </c:extLst>
        </c:ser>
        <c:dLbls>
          <c:showLegendKey val="0"/>
          <c:showVal val="0"/>
          <c:showCatName val="0"/>
          <c:showSerName val="0"/>
          <c:showPercent val="0"/>
          <c:showBubbleSize val="0"/>
        </c:dLbls>
        <c:axId val="334037887"/>
        <c:axId val="334043167"/>
      </c:scatterChart>
      <c:valAx>
        <c:axId val="3340378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34043167"/>
        <c:crosses val="autoZero"/>
        <c:crossBetween val="midCat"/>
      </c:valAx>
      <c:valAx>
        <c:axId val="33404316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334037887"/>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sv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4" Type="http://schemas.openxmlformats.org/officeDocument/2006/relationships/image" Target="../media/image18.png"/></Relationships>
</file>

<file path=xl/drawings/drawing1.xml><?xml version="1.0" encoding="utf-8"?>
<xdr:wsDr xmlns:xdr="http://schemas.openxmlformats.org/drawingml/2006/spreadsheetDrawing" xmlns:a="http://schemas.openxmlformats.org/drawingml/2006/main">
  <xdr:twoCellAnchor editAs="oneCell">
    <xdr:from>
      <xdr:col>0</xdr:col>
      <xdr:colOff>273050</xdr:colOff>
      <xdr:row>2</xdr:row>
      <xdr:rowOff>158750</xdr:rowOff>
    </xdr:from>
    <xdr:to>
      <xdr:col>4</xdr:col>
      <xdr:colOff>115234</xdr:colOff>
      <xdr:row>5</xdr:row>
      <xdr:rowOff>139700</xdr:rowOff>
    </xdr:to>
    <xdr:pic>
      <xdr:nvPicPr>
        <xdr:cNvPr id="2" name="Picture 1" descr="http://www.irena.org/images/logo.gif">
          <a:extLst>
            <a:ext uri="{FF2B5EF4-FFF2-40B4-BE49-F238E27FC236}">
              <a16:creationId xmlns:a16="http://schemas.microsoft.com/office/drawing/2014/main" id="{A580427D-2737-48D5-A313-92B50835035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3050" y="527050"/>
          <a:ext cx="2280584" cy="53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513707</xdr:colOff>
      <xdr:row>8</xdr:row>
      <xdr:rowOff>117726</xdr:rowOff>
    </xdr:from>
    <xdr:to>
      <xdr:col>16</xdr:col>
      <xdr:colOff>556517</xdr:colOff>
      <xdr:row>20</xdr:row>
      <xdr:rowOff>9497</xdr:rowOff>
    </xdr:to>
    <xdr:grpSp>
      <xdr:nvGrpSpPr>
        <xdr:cNvPr id="29" name="Group 28">
          <a:extLst>
            <a:ext uri="{FF2B5EF4-FFF2-40B4-BE49-F238E27FC236}">
              <a16:creationId xmlns:a16="http://schemas.microsoft.com/office/drawing/2014/main" id="{E9DFFEBC-9058-4C9F-AE7C-F3CECA1863A3}"/>
            </a:ext>
          </a:extLst>
        </xdr:cNvPr>
        <xdr:cNvGrpSpPr/>
      </xdr:nvGrpSpPr>
      <xdr:grpSpPr>
        <a:xfrm>
          <a:off x="7988564" y="1811059"/>
          <a:ext cx="2534429" cy="5630962"/>
          <a:chOff x="4498639" y="735117"/>
          <a:chExt cx="2274408" cy="5120746"/>
        </a:xfrm>
      </xdr:grpSpPr>
      <xdr:grpSp>
        <xdr:nvGrpSpPr>
          <xdr:cNvPr id="30" name="Group 29">
            <a:extLst>
              <a:ext uri="{FF2B5EF4-FFF2-40B4-BE49-F238E27FC236}">
                <a16:creationId xmlns:a16="http://schemas.microsoft.com/office/drawing/2014/main" id="{CF6C5982-1CA5-33AF-124A-B07A108E6D92}"/>
              </a:ext>
            </a:extLst>
          </xdr:cNvPr>
          <xdr:cNvGrpSpPr/>
        </xdr:nvGrpSpPr>
        <xdr:grpSpPr>
          <a:xfrm>
            <a:off x="4498639" y="735117"/>
            <a:ext cx="2272437" cy="5120746"/>
            <a:chOff x="4498639" y="735117"/>
            <a:chExt cx="2272437" cy="5120746"/>
          </a:xfrm>
        </xdr:grpSpPr>
        <xdr:grpSp>
          <xdr:nvGrpSpPr>
            <xdr:cNvPr id="32" name="Group 31">
              <a:extLst>
                <a:ext uri="{FF2B5EF4-FFF2-40B4-BE49-F238E27FC236}">
                  <a16:creationId xmlns:a16="http://schemas.microsoft.com/office/drawing/2014/main" id="{EFF80352-12AE-B4A5-DF87-130079F1FFF2}"/>
                </a:ext>
              </a:extLst>
            </xdr:cNvPr>
            <xdr:cNvGrpSpPr/>
          </xdr:nvGrpSpPr>
          <xdr:grpSpPr>
            <a:xfrm rot="5400000">
              <a:off x="3036278" y="2197478"/>
              <a:ext cx="5120746" cy="2196023"/>
              <a:chOff x="200079" y="6640786"/>
              <a:chExt cx="5613279" cy="2375668"/>
            </a:xfrm>
          </xdr:grpSpPr>
          <xdr:sp macro="" textlink="">
            <xdr:nvSpPr>
              <xdr:cNvPr id="34" name="Octagon 33">
                <a:extLst>
                  <a:ext uri="{FF2B5EF4-FFF2-40B4-BE49-F238E27FC236}">
                    <a16:creationId xmlns:a16="http://schemas.microsoft.com/office/drawing/2014/main" id="{316CFDEC-0450-5443-DAAC-472C7632FA75}"/>
                  </a:ext>
                </a:extLst>
              </xdr:cNvPr>
              <xdr:cNvSpPr/>
            </xdr:nvSpPr>
            <xdr:spPr>
              <a:xfrm rot="16200000">
                <a:off x="4404063" y="7105244"/>
                <a:ext cx="1481035" cy="1337555"/>
              </a:xfrm>
              <a:prstGeom prst="octagon">
                <a:avLst/>
              </a:prstGeom>
              <a:solidFill>
                <a:schemeClr val="bg1">
                  <a:lumMod val="6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r>
                  <a:rPr lang="en-US" sz="1400">
                    <a:latin typeface="Calibri" panose="020F0502020204030204" pitchFamily="34" charset="0"/>
                    <a:ea typeface="Calibri" panose="020F0502020204030204" pitchFamily="34" charset="0"/>
                    <a:cs typeface="Calibri" panose="020F0502020204030204" pitchFamily="34" charset="0"/>
                  </a:rPr>
                  <a:t>Levelized Cost of Storage 2025-2030</a:t>
                </a:r>
              </a:p>
            </xdr:txBody>
          </xdr:sp>
          <xdr:cxnSp macro="">
            <xdr:nvCxnSpPr>
              <xdr:cNvPr id="35" name="Straight Arrow Connector 34">
                <a:extLst>
                  <a:ext uri="{FF2B5EF4-FFF2-40B4-BE49-F238E27FC236}">
                    <a16:creationId xmlns:a16="http://schemas.microsoft.com/office/drawing/2014/main" id="{74EF7FBC-311B-F3B0-24D9-5471726E583F}"/>
                  </a:ext>
                </a:extLst>
              </xdr:cNvPr>
              <xdr:cNvCxnSpPr>
                <a:cxnSpLocks/>
              </xdr:cNvCxnSpPr>
            </xdr:nvCxnSpPr>
            <xdr:spPr>
              <a:xfrm rot="16200000">
                <a:off x="3912568" y="7360985"/>
                <a:ext cx="1" cy="826076"/>
              </a:xfrm>
              <a:prstGeom prst="straightConnector1">
                <a:avLst/>
              </a:prstGeom>
              <a:ln w="19050" cap="flat" cmpd="sng" algn="ctr">
                <a:solidFill>
                  <a:schemeClr val="dk1"/>
                </a:solidFill>
                <a:prstDash val="solid"/>
                <a:round/>
                <a:headEnd type="none" w="med" len="med"/>
                <a:tailEnd type="arrow" w="med" len="med"/>
              </a:ln>
            </xdr:spPr>
            <xdr:style>
              <a:lnRef idx="0">
                <a:scrgbClr r="0" g="0" b="0"/>
              </a:lnRef>
              <a:fillRef idx="0">
                <a:scrgbClr r="0" g="0" b="0"/>
              </a:fillRef>
              <a:effectRef idx="0">
                <a:scrgbClr r="0" g="0" b="0"/>
              </a:effectRef>
              <a:fontRef idx="minor">
                <a:schemeClr val="tx1"/>
              </a:fontRef>
            </xdr:style>
          </xdr:cxnSp>
          <xdr:grpSp>
            <xdr:nvGrpSpPr>
              <xdr:cNvPr id="36" name="Group 35">
                <a:extLst>
                  <a:ext uri="{FF2B5EF4-FFF2-40B4-BE49-F238E27FC236}">
                    <a16:creationId xmlns:a16="http://schemas.microsoft.com/office/drawing/2014/main" id="{C3E480E4-8A15-DFBA-5950-65460FCF0192}"/>
                  </a:ext>
                </a:extLst>
              </xdr:cNvPr>
              <xdr:cNvGrpSpPr/>
            </xdr:nvGrpSpPr>
            <xdr:grpSpPr>
              <a:xfrm>
                <a:off x="200079" y="6640786"/>
                <a:ext cx="1303056" cy="1337555"/>
                <a:chOff x="8023289" y="6230049"/>
                <a:chExt cx="1303056" cy="1337555"/>
              </a:xfrm>
            </xdr:grpSpPr>
            <xdr:sp macro="" textlink="">
              <xdr:nvSpPr>
                <xdr:cNvPr id="40" name="Octagon 39">
                  <a:extLst>
                    <a:ext uri="{FF2B5EF4-FFF2-40B4-BE49-F238E27FC236}">
                      <a16:creationId xmlns:a16="http://schemas.microsoft.com/office/drawing/2014/main" id="{0B4361C6-994F-E442-41FE-93BC1DB89665}"/>
                    </a:ext>
                  </a:extLst>
                </xdr:cNvPr>
                <xdr:cNvSpPr/>
              </xdr:nvSpPr>
              <xdr:spPr>
                <a:xfrm>
                  <a:off x="8023289" y="6230049"/>
                  <a:ext cx="1303056" cy="1337555"/>
                </a:xfrm>
                <a:prstGeom prst="octagon">
                  <a:avLst/>
                </a:prstGeom>
                <a:solidFill>
                  <a:srgbClr val="1E7CA6"/>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400">
                    <a:latin typeface="Calibri" panose="020F0502020204030204" pitchFamily="34" charset="0"/>
                    <a:ea typeface="Calibri" panose="020F0502020204030204" pitchFamily="34" charset="0"/>
                    <a:cs typeface="Calibri" panose="020F0502020204030204" pitchFamily="34" charset="0"/>
                  </a:endParaRPr>
                </a:p>
              </xdr:txBody>
            </xdr:sp>
            <xdr:sp macro="" textlink="">
              <xdr:nvSpPr>
                <xdr:cNvPr id="41" name="TextBox 36">
                  <a:extLst>
                    <a:ext uri="{FF2B5EF4-FFF2-40B4-BE49-F238E27FC236}">
                      <a16:creationId xmlns:a16="http://schemas.microsoft.com/office/drawing/2014/main" id="{D1C24F25-CD96-DD56-FFA4-EF6F8770037B}"/>
                    </a:ext>
                  </a:extLst>
                </xdr:cNvPr>
                <xdr:cNvSpPr txBox="1"/>
              </xdr:nvSpPr>
              <xdr:spPr>
                <a:xfrm rot="16200000">
                  <a:off x="8157089" y="6483383"/>
                  <a:ext cx="1293209" cy="80971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1400">
                      <a:solidFill>
                        <a:schemeClr val="bg1"/>
                      </a:solidFill>
                      <a:latin typeface="Calibri" panose="020F0502020204030204" pitchFamily="34" charset="0"/>
                      <a:ea typeface="Calibri" panose="020F0502020204030204" pitchFamily="34" charset="0"/>
                      <a:cs typeface="Calibri" panose="020F0502020204030204" pitchFamily="34" charset="0"/>
                    </a:rPr>
                    <a:t>Energy Storage Applications</a:t>
                  </a:r>
                </a:p>
              </xdr:txBody>
            </xdr:sp>
          </xdr:grpSp>
          <xdr:grpSp>
            <xdr:nvGrpSpPr>
              <xdr:cNvPr id="37" name="Group 36">
                <a:extLst>
                  <a:ext uri="{FF2B5EF4-FFF2-40B4-BE49-F238E27FC236}">
                    <a16:creationId xmlns:a16="http://schemas.microsoft.com/office/drawing/2014/main" id="{A07F76FF-113F-FAF8-AFFD-42F34542118E}"/>
                  </a:ext>
                </a:extLst>
              </xdr:cNvPr>
              <xdr:cNvGrpSpPr/>
            </xdr:nvGrpSpPr>
            <xdr:grpSpPr>
              <a:xfrm>
                <a:off x="1176352" y="7678899"/>
                <a:ext cx="1303056" cy="1337555"/>
                <a:chOff x="7991475" y="6254864"/>
                <a:chExt cx="1303056" cy="1337555"/>
              </a:xfrm>
              <a:solidFill>
                <a:schemeClr val="accent2"/>
              </a:solidFill>
            </xdr:grpSpPr>
            <xdr:sp macro="" textlink="">
              <xdr:nvSpPr>
                <xdr:cNvPr id="38" name="Octagon 37">
                  <a:extLst>
                    <a:ext uri="{FF2B5EF4-FFF2-40B4-BE49-F238E27FC236}">
                      <a16:creationId xmlns:a16="http://schemas.microsoft.com/office/drawing/2014/main" id="{78B060DA-3DF1-9FC8-9E81-CD7E6CA161C4}"/>
                    </a:ext>
                  </a:extLst>
                </xdr:cNvPr>
                <xdr:cNvSpPr/>
              </xdr:nvSpPr>
              <xdr:spPr>
                <a:xfrm>
                  <a:off x="7991475" y="6254864"/>
                  <a:ext cx="1303056" cy="1337555"/>
                </a:xfrm>
                <a:prstGeom prst="octagon">
                  <a:avLst/>
                </a:prstGeom>
                <a:grp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400">
                    <a:latin typeface="Calibri" panose="020F0502020204030204" pitchFamily="34" charset="0"/>
                    <a:ea typeface="Calibri" panose="020F0502020204030204" pitchFamily="34" charset="0"/>
                    <a:cs typeface="Calibri" panose="020F0502020204030204" pitchFamily="34" charset="0"/>
                  </a:endParaRPr>
                </a:p>
              </xdr:txBody>
            </xdr:sp>
            <xdr:sp macro="" textlink="">
              <xdr:nvSpPr>
                <xdr:cNvPr id="39" name="TextBox 40">
                  <a:extLst>
                    <a:ext uri="{FF2B5EF4-FFF2-40B4-BE49-F238E27FC236}">
                      <a16:creationId xmlns:a16="http://schemas.microsoft.com/office/drawing/2014/main" id="{F097472B-E9A1-0B90-75D6-363167ADF709}"/>
                    </a:ext>
                  </a:extLst>
                </xdr:cNvPr>
                <xdr:cNvSpPr txBox="1"/>
              </xdr:nvSpPr>
              <xdr:spPr>
                <a:xfrm rot="16200000">
                  <a:off x="8113771" y="6509965"/>
                  <a:ext cx="1291556" cy="809712"/>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1400">
                      <a:solidFill>
                        <a:schemeClr val="bg1"/>
                      </a:solidFill>
                      <a:latin typeface="Calibri" panose="020F0502020204030204" pitchFamily="34" charset="0"/>
                      <a:ea typeface="Calibri" panose="020F0502020204030204" pitchFamily="34" charset="0"/>
                      <a:cs typeface="Calibri" panose="020F0502020204030204" pitchFamily="34" charset="0"/>
                    </a:rPr>
                    <a:t>Energy Storage Technologies</a:t>
                  </a:r>
                </a:p>
              </xdr:txBody>
            </xdr:sp>
          </xdr:grpSp>
        </xdr:grpSp>
        <xdr:sp macro="" textlink="">
          <xdr:nvSpPr>
            <xdr:cNvPr id="33" name="Octagon 32">
              <a:extLst>
                <a:ext uri="{FF2B5EF4-FFF2-40B4-BE49-F238E27FC236}">
                  <a16:creationId xmlns:a16="http://schemas.microsoft.com/office/drawing/2014/main" id="{7BA7737F-2C8F-B802-EDB3-924B9C12F6DB}"/>
                </a:ext>
              </a:extLst>
            </xdr:cNvPr>
            <xdr:cNvSpPr/>
          </xdr:nvSpPr>
          <xdr:spPr>
            <a:xfrm rot="5400000">
              <a:off x="5559496" y="2413801"/>
              <a:ext cx="1188720" cy="1234440"/>
            </a:xfrm>
            <a:prstGeom prst="octagon">
              <a:avLst/>
            </a:prstGeom>
            <a:solidFill>
              <a:srgbClr val="95BC1A"/>
            </a:solidFill>
            <a:ln>
              <a:noFill/>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a:pPr algn="ctr"/>
              <a:endParaRPr lang="en-US" sz="1400">
                <a:latin typeface="Calibri" panose="020F0502020204030204" pitchFamily="34" charset="0"/>
                <a:ea typeface="Calibri" panose="020F0502020204030204" pitchFamily="34" charset="0"/>
                <a:cs typeface="Calibri" panose="020F0502020204030204" pitchFamily="34" charset="0"/>
              </a:endParaRPr>
            </a:p>
          </xdr:txBody>
        </xdr:sp>
      </xdr:grpSp>
      <xdr:sp macro="" textlink="">
        <xdr:nvSpPr>
          <xdr:cNvPr id="31" name="TextBox 5">
            <a:extLst>
              <a:ext uri="{FF2B5EF4-FFF2-40B4-BE49-F238E27FC236}">
                <a16:creationId xmlns:a16="http://schemas.microsoft.com/office/drawing/2014/main" id="{E0E73B15-BEAB-FCD6-4405-D0F594CD98F2}"/>
              </a:ext>
            </a:extLst>
          </xdr:cNvPr>
          <xdr:cNvSpPr txBox="1"/>
        </xdr:nvSpPr>
        <xdr:spPr>
          <a:xfrm>
            <a:off x="5536636" y="2769411"/>
            <a:ext cx="1236411" cy="523220"/>
          </a:xfrm>
          <a:prstGeom prst="rect">
            <a:avLst/>
          </a:prstGeom>
          <a:noFill/>
        </xdr:spPr>
        <xdr:txBody>
          <a:bodyPr wrap="square" rtlCol="0">
            <a:sp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algn="ctr"/>
            <a:r>
              <a:rPr lang="en-US" sz="1400">
                <a:solidFill>
                  <a:schemeClr val="bg1"/>
                </a:solidFill>
                <a:latin typeface="Calibri" panose="020F0502020204030204" pitchFamily="34" charset="0"/>
                <a:ea typeface="Calibri" panose="020F0502020204030204" pitchFamily="34" charset="0"/>
                <a:cs typeface="Calibri" panose="020F0502020204030204" pitchFamily="34" charset="0"/>
              </a:rPr>
              <a:t>System configuration</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304801</xdr:colOff>
      <xdr:row>2</xdr:row>
      <xdr:rowOff>142876</xdr:rowOff>
    </xdr:from>
    <xdr:to>
      <xdr:col>2</xdr:col>
      <xdr:colOff>533401</xdr:colOff>
      <xdr:row>7</xdr:row>
      <xdr:rowOff>28576</xdr:rowOff>
    </xdr:to>
    <xdr:pic>
      <xdr:nvPicPr>
        <xdr:cNvPr id="6" name="Graphic 5" descr="Open Book">
          <a:extLst>
            <a:ext uri="{FF2B5EF4-FFF2-40B4-BE49-F238E27FC236}">
              <a16:creationId xmlns:a16="http://schemas.microsoft.com/office/drawing/2014/main" id="{FAFA7D6B-E72A-4194-83C6-D4821232C42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14401" y="501651"/>
          <a:ext cx="838200" cy="790575"/>
        </a:xfrm>
        <a:prstGeom prst="rect">
          <a:avLst/>
        </a:prstGeom>
      </xdr:spPr>
    </xdr:pic>
    <xdr:clientData/>
  </xdr:twoCellAnchor>
  <xdr:twoCellAnchor editAs="oneCell">
    <xdr:from>
      <xdr:col>1</xdr:col>
      <xdr:colOff>603250</xdr:colOff>
      <xdr:row>86</xdr:row>
      <xdr:rowOff>50800</xdr:rowOff>
    </xdr:from>
    <xdr:to>
      <xdr:col>19</xdr:col>
      <xdr:colOff>532</xdr:colOff>
      <xdr:row>91</xdr:row>
      <xdr:rowOff>76248</xdr:rowOff>
    </xdr:to>
    <xdr:pic>
      <xdr:nvPicPr>
        <xdr:cNvPr id="20" name="Picture 19">
          <a:extLst>
            <a:ext uri="{FF2B5EF4-FFF2-40B4-BE49-F238E27FC236}">
              <a16:creationId xmlns:a16="http://schemas.microsoft.com/office/drawing/2014/main" id="{88888530-A6D8-4A5C-14D6-983395898945}"/>
            </a:ext>
          </a:extLst>
        </xdr:cNvPr>
        <xdr:cNvPicPr>
          <a:picLocks noChangeAspect="1"/>
        </xdr:cNvPicPr>
      </xdr:nvPicPr>
      <xdr:blipFill rotWithShape="1">
        <a:blip xmlns:r="http://schemas.openxmlformats.org/officeDocument/2006/relationships" r:embed="rId3"/>
        <a:srcRect t="2614"/>
        <a:stretch>
          <a:fillRect/>
        </a:stretch>
      </xdr:blipFill>
      <xdr:spPr>
        <a:xfrm>
          <a:off x="1212850" y="15335250"/>
          <a:ext cx="10351032" cy="946200"/>
        </a:xfrm>
        <a:prstGeom prst="rect">
          <a:avLst/>
        </a:prstGeom>
      </xdr:spPr>
    </xdr:pic>
    <xdr:clientData/>
  </xdr:twoCellAnchor>
  <xdr:twoCellAnchor editAs="oneCell">
    <xdr:from>
      <xdr:col>3</xdr:col>
      <xdr:colOff>291041</xdr:colOff>
      <xdr:row>18</xdr:row>
      <xdr:rowOff>42334</xdr:rowOff>
    </xdr:from>
    <xdr:to>
      <xdr:col>8</xdr:col>
      <xdr:colOff>505884</xdr:colOff>
      <xdr:row>21</xdr:row>
      <xdr:rowOff>106640</xdr:rowOff>
    </xdr:to>
    <xdr:pic>
      <xdr:nvPicPr>
        <xdr:cNvPr id="25" name="Picture 24">
          <a:extLst>
            <a:ext uri="{FF2B5EF4-FFF2-40B4-BE49-F238E27FC236}">
              <a16:creationId xmlns:a16="http://schemas.microsoft.com/office/drawing/2014/main" id="{C0EBE0C3-786C-445E-2A96-D23E5430CB57}"/>
            </a:ext>
          </a:extLst>
        </xdr:cNvPr>
        <xdr:cNvPicPr>
          <a:picLocks noChangeAspect="1"/>
        </xdr:cNvPicPr>
      </xdr:nvPicPr>
      <xdr:blipFill rotWithShape="1">
        <a:blip xmlns:r="http://schemas.openxmlformats.org/officeDocument/2006/relationships" r:embed="rId4"/>
        <a:srcRect t="5420" b="5832"/>
        <a:stretch>
          <a:fillRect/>
        </a:stretch>
      </xdr:blipFill>
      <xdr:spPr>
        <a:xfrm>
          <a:off x="2116666" y="3376084"/>
          <a:ext cx="3254376" cy="616756"/>
        </a:xfrm>
        <a:prstGeom prst="rect">
          <a:avLst/>
        </a:prstGeom>
      </xdr:spPr>
    </xdr:pic>
    <xdr:clientData/>
  </xdr:twoCellAnchor>
  <xdr:twoCellAnchor editAs="oneCell">
    <xdr:from>
      <xdr:col>3</xdr:col>
      <xdr:colOff>269875</xdr:colOff>
      <xdr:row>24</xdr:row>
      <xdr:rowOff>132292</xdr:rowOff>
    </xdr:from>
    <xdr:to>
      <xdr:col>8</xdr:col>
      <xdr:colOff>411618</xdr:colOff>
      <xdr:row>27</xdr:row>
      <xdr:rowOff>65617</xdr:rowOff>
    </xdr:to>
    <xdr:pic>
      <xdr:nvPicPr>
        <xdr:cNvPr id="26" name="Picture 25">
          <a:extLst>
            <a:ext uri="{FF2B5EF4-FFF2-40B4-BE49-F238E27FC236}">
              <a16:creationId xmlns:a16="http://schemas.microsoft.com/office/drawing/2014/main" id="{1E945B42-8B7F-D867-26A9-18B311187FC0}"/>
            </a:ext>
          </a:extLst>
        </xdr:cNvPr>
        <xdr:cNvPicPr>
          <a:picLocks noChangeAspect="1"/>
        </xdr:cNvPicPr>
      </xdr:nvPicPr>
      <xdr:blipFill>
        <a:blip xmlns:r="http://schemas.openxmlformats.org/officeDocument/2006/relationships" r:embed="rId5"/>
        <a:stretch>
          <a:fillRect/>
        </a:stretch>
      </xdr:blipFill>
      <xdr:spPr>
        <a:xfrm>
          <a:off x="2095500" y="4577292"/>
          <a:ext cx="3187626" cy="492125"/>
        </a:xfrm>
        <a:prstGeom prst="rect">
          <a:avLst/>
        </a:prstGeom>
      </xdr:spPr>
    </xdr:pic>
    <xdr:clientData/>
  </xdr:twoCellAnchor>
  <xdr:twoCellAnchor editAs="oneCell">
    <xdr:from>
      <xdr:col>3</xdr:col>
      <xdr:colOff>291042</xdr:colOff>
      <xdr:row>32</xdr:row>
      <xdr:rowOff>169333</xdr:rowOff>
    </xdr:from>
    <xdr:to>
      <xdr:col>8</xdr:col>
      <xdr:colOff>388409</xdr:colOff>
      <xdr:row>35</xdr:row>
      <xdr:rowOff>144501</xdr:rowOff>
    </xdr:to>
    <xdr:pic>
      <xdr:nvPicPr>
        <xdr:cNvPr id="27" name="Picture 26">
          <a:extLst>
            <a:ext uri="{FF2B5EF4-FFF2-40B4-BE49-F238E27FC236}">
              <a16:creationId xmlns:a16="http://schemas.microsoft.com/office/drawing/2014/main" id="{DE5DB0BA-9F0D-9CD9-91B4-5630CFDE39F2}"/>
            </a:ext>
          </a:extLst>
        </xdr:cNvPr>
        <xdr:cNvPicPr>
          <a:picLocks noChangeAspect="1"/>
        </xdr:cNvPicPr>
      </xdr:nvPicPr>
      <xdr:blipFill>
        <a:blip xmlns:r="http://schemas.openxmlformats.org/officeDocument/2006/relationships" r:embed="rId6"/>
        <a:stretch>
          <a:fillRect/>
        </a:stretch>
      </xdr:blipFill>
      <xdr:spPr>
        <a:xfrm>
          <a:off x="2116667" y="6096000"/>
          <a:ext cx="3143250" cy="533968"/>
        </a:xfrm>
        <a:prstGeom prst="rect">
          <a:avLst/>
        </a:prstGeom>
      </xdr:spPr>
    </xdr:pic>
    <xdr:clientData/>
  </xdr:twoCellAnchor>
  <xdr:twoCellAnchor editAs="oneCell">
    <xdr:from>
      <xdr:col>3</xdr:col>
      <xdr:colOff>280456</xdr:colOff>
      <xdr:row>42</xdr:row>
      <xdr:rowOff>95251</xdr:rowOff>
    </xdr:from>
    <xdr:to>
      <xdr:col>8</xdr:col>
      <xdr:colOff>388408</xdr:colOff>
      <xdr:row>45</xdr:row>
      <xdr:rowOff>75392</xdr:rowOff>
    </xdr:to>
    <xdr:pic>
      <xdr:nvPicPr>
        <xdr:cNvPr id="28" name="Picture 27">
          <a:extLst>
            <a:ext uri="{FF2B5EF4-FFF2-40B4-BE49-F238E27FC236}">
              <a16:creationId xmlns:a16="http://schemas.microsoft.com/office/drawing/2014/main" id="{D253E6E5-5E9E-B244-EA7E-FA4F910B5A92}"/>
            </a:ext>
          </a:extLst>
        </xdr:cNvPr>
        <xdr:cNvPicPr>
          <a:picLocks noChangeAspect="1"/>
        </xdr:cNvPicPr>
      </xdr:nvPicPr>
      <xdr:blipFill>
        <a:blip xmlns:r="http://schemas.openxmlformats.org/officeDocument/2006/relationships" r:embed="rId7"/>
        <a:stretch>
          <a:fillRect/>
        </a:stretch>
      </xdr:blipFill>
      <xdr:spPr>
        <a:xfrm>
          <a:off x="2106081" y="7874001"/>
          <a:ext cx="3153835" cy="535766"/>
        </a:xfrm>
        <a:prstGeom prst="rect">
          <a:avLst/>
        </a:prstGeom>
      </xdr:spPr>
    </xdr:pic>
    <xdr:clientData/>
  </xdr:twoCellAnchor>
  <xdr:twoCellAnchor editAs="oneCell">
    <xdr:from>
      <xdr:col>3</xdr:col>
      <xdr:colOff>264584</xdr:colOff>
      <xdr:row>50</xdr:row>
      <xdr:rowOff>58208</xdr:rowOff>
    </xdr:from>
    <xdr:to>
      <xdr:col>8</xdr:col>
      <xdr:colOff>364144</xdr:colOff>
      <xdr:row>53</xdr:row>
      <xdr:rowOff>28575</xdr:rowOff>
    </xdr:to>
    <xdr:pic>
      <xdr:nvPicPr>
        <xdr:cNvPr id="29" name="Picture 28">
          <a:extLst>
            <a:ext uri="{FF2B5EF4-FFF2-40B4-BE49-F238E27FC236}">
              <a16:creationId xmlns:a16="http://schemas.microsoft.com/office/drawing/2014/main" id="{9676175A-136F-83DB-D8FE-12AA019FAB26}"/>
            </a:ext>
          </a:extLst>
        </xdr:cNvPr>
        <xdr:cNvPicPr>
          <a:picLocks noChangeAspect="1"/>
        </xdr:cNvPicPr>
      </xdr:nvPicPr>
      <xdr:blipFill>
        <a:blip xmlns:r="http://schemas.openxmlformats.org/officeDocument/2006/relationships" r:embed="rId8"/>
        <a:stretch>
          <a:fillRect/>
        </a:stretch>
      </xdr:blipFill>
      <xdr:spPr>
        <a:xfrm>
          <a:off x="2090209" y="9318625"/>
          <a:ext cx="3142268" cy="529167"/>
        </a:xfrm>
        <a:prstGeom prst="rect">
          <a:avLst/>
        </a:prstGeom>
      </xdr:spPr>
    </xdr:pic>
    <xdr:clientData/>
  </xdr:twoCellAnchor>
  <xdr:twoCellAnchor editAs="oneCell">
    <xdr:from>
      <xdr:col>3</xdr:col>
      <xdr:colOff>254001</xdr:colOff>
      <xdr:row>59</xdr:row>
      <xdr:rowOff>116417</xdr:rowOff>
    </xdr:from>
    <xdr:to>
      <xdr:col>8</xdr:col>
      <xdr:colOff>389467</xdr:colOff>
      <xdr:row>67</xdr:row>
      <xdr:rowOff>164332</xdr:rowOff>
    </xdr:to>
    <xdr:pic>
      <xdr:nvPicPr>
        <xdr:cNvPr id="30" name="Picture 29">
          <a:extLst>
            <a:ext uri="{FF2B5EF4-FFF2-40B4-BE49-F238E27FC236}">
              <a16:creationId xmlns:a16="http://schemas.microsoft.com/office/drawing/2014/main" id="{CDA382C8-248A-7E2B-C174-306698A42EE8}"/>
            </a:ext>
          </a:extLst>
        </xdr:cNvPr>
        <xdr:cNvPicPr>
          <a:picLocks noChangeAspect="1"/>
        </xdr:cNvPicPr>
      </xdr:nvPicPr>
      <xdr:blipFill>
        <a:blip xmlns:r="http://schemas.openxmlformats.org/officeDocument/2006/relationships" r:embed="rId9"/>
        <a:stretch>
          <a:fillRect/>
        </a:stretch>
      </xdr:blipFill>
      <xdr:spPr>
        <a:xfrm>
          <a:off x="2079626" y="11228917"/>
          <a:ext cx="3174999" cy="1532758"/>
        </a:xfrm>
        <a:prstGeom prst="rect">
          <a:avLst/>
        </a:prstGeom>
      </xdr:spPr>
    </xdr:pic>
    <xdr:clientData/>
  </xdr:twoCellAnchor>
  <xdr:twoCellAnchor editAs="oneCell">
    <xdr:from>
      <xdr:col>3</xdr:col>
      <xdr:colOff>238124</xdr:colOff>
      <xdr:row>73</xdr:row>
      <xdr:rowOff>111124</xdr:rowOff>
    </xdr:from>
    <xdr:to>
      <xdr:col>8</xdr:col>
      <xdr:colOff>244986</xdr:colOff>
      <xdr:row>79</xdr:row>
      <xdr:rowOff>153457</xdr:rowOff>
    </xdr:to>
    <xdr:pic>
      <xdr:nvPicPr>
        <xdr:cNvPr id="31" name="Picture 30">
          <a:extLst>
            <a:ext uri="{FF2B5EF4-FFF2-40B4-BE49-F238E27FC236}">
              <a16:creationId xmlns:a16="http://schemas.microsoft.com/office/drawing/2014/main" id="{5DDFBC46-D073-3371-A92C-4F0379222BAF}"/>
            </a:ext>
          </a:extLst>
        </xdr:cNvPr>
        <xdr:cNvPicPr>
          <a:picLocks noChangeAspect="1"/>
        </xdr:cNvPicPr>
      </xdr:nvPicPr>
      <xdr:blipFill>
        <a:blip xmlns:r="http://schemas.openxmlformats.org/officeDocument/2006/relationships" r:embed="rId10"/>
        <a:stretch>
          <a:fillRect/>
        </a:stretch>
      </xdr:blipFill>
      <xdr:spPr>
        <a:xfrm>
          <a:off x="2063749" y="13816541"/>
          <a:ext cx="3049570" cy="1153583"/>
        </a:xfrm>
        <a:prstGeom prst="rect">
          <a:avLst/>
        </a:prstGeom>
      </xdr:spPr>
    </xdr:pic>
    <xdr:clientData/>
  </xdr:twoCellAnchor>
  <xdr:twoCellAnchor editAs="oneCell">
    <xdr:from>
      <xdr:col>1</xdr:col>
      <xdr:colOff>497418</xdr:colOff>
      <xdr:row>96</xdr:row>
      <xdr:rowOff>158749</xdr:rowOff>
    </xdr:from>
    <xdr:to>
      <xdr:col>22</xdr:col>
      <xdr:colOff>88484</xdr:colOff>
      <xdr:row>121</xdr:row>
      <xdr:rowOff>64783</xdr:rowOff>
    </xdr:to>
    <xdr:pic>
      <xdr:nvPicPr>
        <xdr:cNvPr id="34" name="Picture 33">
          <a:extLst>
            <a:ext uri="{FF2B5EF4-FFF2-40B4-BE49-F238E27FC236}">
              <a16:creationId xmlns:a16="http://schemas.microsoft.com/office/drawing/2014/main" id="{070224A4-70BD-A0AE-DA9F-C7F16D9D783F}"/>
            </a:ext>
          </a:extLst>
        </xdr:cNvPr>
        <xdr:cNvPicPr>
          <a:picLocks noChangeAspect="1"/>
        </xdr:cNvPicPr>
      </xdr:nvPicPr>
      <xdr:blipFill>
        <a:blip xmlns:r="http://schemas.openxmlformats.org/officeDocument/2006/relationships" r:embed="rId11"/>
        <a:stretch>
          <a:fillRect/>
        </a:stretch>
      </xdr:blipFill>
      <xdr:spPr>
        <a:xfrm>
          <a:off x="1111251" y="17430749"/>
          <a:ext cx="12478391" cy="4407126"/>
        </a:xfrm>
        <a:prstGeom prst="rect">
          <a:avLst/>
        </a:prstGeom>
      </xdr:spPr>
    </xdr:pic>
    <xdr:clientData/>
  </xdr:twoCellAnchor>
  <xdr:twoCellAnchor editAs="oneCell">
    <xdr:from>
      <xdr:col>1</xdr:col>
      <xdr:colOff>246946</xdr:colOff>
      <xdr:row>129</xdr:row>
      <xdr:rowOff>134056</xdr:rowOff>
    </xdr:from>
    <xdr:to>
      <xdr:col>22</xdr:col>
      <xdr:colOff>474653</xdr:colOff>
      <xdr:row>146</xdr:row>
      <xdr:rowOff>35278</xdr:rowOff>
    </xdr:to>
    <xdr:pic>
      <xdr:nvPicPr>
        <xdr:cNvPr id="36" name="Picture 35">
          <a:extLst>
            <a:ext uri="{FF2B5EF4-FFF2-40B4-BE49-F238E27FC236}">
              <a16:creationId xmlns:a16="http://schemas.microsoft.com/office/drawing/2014/main" id="{B641BB79-ECFD-C0B3-C26F-50969DA6458E}"/>
            </a:ext>
          </a:extLst>
        </xdr:cNvPr>
        <xdr:cNvPicPr>
          <a:picLocks noChangeAspect="1"/>
        </xdr:cNvPicPr>
      </xdr:nvPicPr>
      <xdr:blipFill>
        <a:blip xmlns:r="http://schemas.openxmlformats.org/officeDocument/2006/relationships" r:embed="rId12"/>
        <a:stretch>
          <a:fillRect/>
        </a:stretch>
      </xdr:blipFill>
      <xdr:spPr>
        <a:xfrm>
          <a:off x="853724" y="23798389"/>
          <a:ext cx="12970040" cy="3019778"/>
        </a:xfrm>
        <a:prstGeom prst="rect">
          <a:avLst/>
        </a:prstGeom>
      </xdr:spPr>
    </xdr:pic>
    <xdr:clientData/>
  </xdr:twoCellAnchor>
  <xdr:twoCellAnchor editAs="oneCell">
    <xdr:from>
      <xdr:col>1</xdr:col>
      <xdr:colOff>331610</xdr:colOff>
      <xdr:row>153</xdr:row>
      <xdr:rowOff>105835</xdr:rowOff>
    </xdr:from>
    <xdr:to>
      <xdr:col>25</xdr:col>
      <xdr:colOff>176389</xdr:colOff>
      <xdr:row>175</xdr:row>
      <xdr:rowOff>79795</xdr:rowOff>
    </xdr:to>
    <xdr:pic>
      <xdr:nvPicPr>
        <xdr:cNvPr id="2" name="Picture 1">
          <a:extLst>
            <a:ext uri="{FF2B5EF4-FFF2-40B4-BE49-F238E27FC236}">
              <a16:creationId xmlns:a16="http://schemas.microsoft.com/office/drawing/2014/main" id="{CBAA0451-8A5A-C277-8D95-38395B47B759}"/>
            </a:ext>
          </a:extLst>
        </xdr:cNvPr>
        <xdr:cNvPicPr>
          <a:picLocks noChangeAspect="1"/>
        </xdr:cNvPicPr>
      </xdr:nvPicPr>
      <xdr:blipFill>
        <a:blip xmlns:r="http://schemas.openxmlformats.org/officeDocument/2006/relationships" r:embed="rId13"/>
        <a:stretch>
          <a:fillRect/>
        </a:stretch>
      </xdr:blipFill>
      <xdr:spPr>
        <a:xfrm>
          <a:off x="938388" y="28172835"/>
          <a:ext cx="14407445" cy="40097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152400</xdr:colOff>
      <xdr:row>5</xdr:row>
      <xdr:rowOff>171449</xdr:rowOff>
    </xdr:from>
    <xdr:to>
      <xdr:col>7</xdr:col>
      <xdr:colOff>0</xdr:colOff>
      <xdr:row>13</xdr:row>
      <xdr:rowOff>104774</xdr:rowOff>
    </xdr:to>
    <xdr:sp macro="" textlink="">
      <xdr:nvSpPr>
        <xdr:cNvPr id="2" name="Nach links gekrümmter Pfeil 1">
          <a:extLst>
            <a:ext uri="{FF2B5EF4-FFF2-40B4-BE49-F238E27FC236}">
              <a16:creationId xmlns:a16="http://schemas.microsoft.com/office/drawing/2014/main" id="{00000000-0008-0000-0100-000002000000}"/>
            </a:ext>
          </a:extLst>
        </xdr:cNvPr>
        <xdr:cNvSpPr/>
      </xdr:nvSpPr>
      <xdr:spPr>
        <a:xfrm flipV="1">
          <a:off x="6467475" y="1133474"/>
          <a:ext cx="609600" cy="1466850"/>
        </a:xfrm>
        <a:prstGeom prst="curvedLeftArrow">
          <a:avLst>
            <a:gd name="adj1" fmla="val 11889"/>
            <a:gd name="adj2" fmla="val 50000"/>
            <a:gd name="adj3" fmla="val 25000"/>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solidFill>
              <a:schemeClr val="tx1"/>
            </a:solidFill>
          </a:endParaRPr>
        </a:p>
      </xdr:txBody>
    </xdr:sp>
    <xdr:clientData/>
  </xdr:twoCellAnchor>
  <xdr:twoCellAnchor>
    <xdr:from>
      <xdr:col>9</xdr:col>
      <xdr:colOff>47625</xdr:colOff>
      <xdr:row>2</xdr:row>
      <xdr:rowOff>0</xdr:rowOff>
    </xdr:from>
    <xdr:to>
      <xdr:col>15</xdr:col>
      <xdr:colOff>695325</xdr:colOff>
      <xdr:row>16</xdr:row>
      <xdr:rowOff>57150</xdr:rowOff>
    </xdr:to>
    <xdr:graphicFrame macro="">
      <xdr:nvGraphicFramePr>
        <xdr:cNvPr id="3" name="Diagramm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684742</xdr:colOff>
      <xdr:row>21</xdr:row>
      <xdr:rowOff>226482</xdr:rowOff>
    </xdr:from>
    <xdr:to>
      <xdr:col>15</xdr:col>
      <xdr:colOff>611364</xdr:colOff>
      <xdr:row>37</xdr:row>
      <xdr:rowOff>128057</xdr:rowOff>
    </xdr:to>
    <xdr:graphicFrame macro="">
      <xdr:nvGraphicFramePr>
        <xdr:cNvPr id="6" name="Diagramm 5">
          <a:extLst>
            <a:ext uri="{FF2B5EF4-FFF2-40B4-BE49-F238E27FC236}">
              <a16:creationId xmlns:a16="http://schemas.microsoft.com/office/drawing/2014/main" id="{00000000-0008-0000-01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677334</xdr:colOff>
      <xdr:row>30</xdr:row>
      <xdr:rowOff>134057</xdr:rowOff>
    </xdr:from>
    <xdr:to>
      <xdr:col>6</xdr:col>
      <xdr:colOff>505884</xdr:colOff>
      <xdr:row>47</xdr:row>
      <xdr:rowOff>90311</xdr:rowOff>
    </xdr:to>
    <xdr:graphicFrame macro="">
      <xdr:nvGraphicFramePr>
        <xdr:cNvPr id="4" name="Diagramm 2">
          <a:extLst>
            <a:ext uri="{FF2B5EF4-FFF2-40B4-BE49-F238E27FC236}">
              <a16:creationId xmlns:a16="http://schemas.microsoft.com/office/drawing/2014/main" id="{0CF53934-8F35-4171-BB16-E5DA521CAC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873125</xdr:colOff>
      <xdr:row>25</xdr:row>
      <xdr:rowOff>127000</xdr:rowOff>
    </xdr:from>
    <xdr:to>
      <xdr:col>1</xdr:col>
      <xdr:colOff>2744508</xdr:colOff>
      <xdr:row>31</xdr:row>
      <xdr:rowOff>69102</xdr:rowOff>
    </xdr:to>
    <xdr:sp macro="" textlink="">
      <xdr:nvSpPr>
        <xdr:cNvPr id="3" name="TextBox 2">
          <a:extLst>
            <a:ext uri="{FF2B5EF4-FFF2-40B4-BE49-F238E27FC236}">
              <a16:creationId xmlns:a16="http://schemas.microsoft.com/office/drawing/2014/main" id="{A9207197-6FDD-4BC3-B009-C7DBE781B096}"/>
            </a:ext>
          </a:extLst>
        </xdr:cNvPr>
        <xdr:cNvSpPr txBox="1"/>
      </xdr:nvSpPr>
      <xdr:spPr>
        <a:xfrm>
          <a:off x="1793875" y="4651375"/>
          <a:ext cx="1871383" cy="989852"/>
        </a:xfrm>
        <a:prstGeom prst="rect">
          <a:avLst/>
        </a:prstGeom>
        <a:gradFill flip="none" rotWithShape="1">
          <a:gsLst>
            <a:gs pos="0">
              <a:schemeClr val="accent1">
                <a:lumMod val="67000"/>
              </a:schemeClr>
            </a:gs>
            <a:gs pos="48000">
              <a:schemeClr val="accent1">
                <a:lumMod val="97000"/>
                <a:lumOff val="3000"/>
              </a:schemeClr>
            </a:gs>
            <a:gs pos="100000">
              <a:schemeClr val="accent1">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wrap="square" rtlCol="0" anchor="t"/>
        <a:lstStyle/>
        <a:p>
          <a:r>
            <a:rPr lang="en-US" sz="1100"/>
            <a:t>Insert</a:t>
          </a:r>
          <a:r>
            <a:rPr lang="en-US" sz="1100" baseline="0"/>
            <a:t> more applications as needed here in the blank rows of the table. You can also modify parameters of predefined ones.</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778808</xdr:colOff>
      <xdr:row>10</xdr:row>
      <xdr:rowOff>101974</xdr:rowOff>
    </xdr:from>
    <xdr:to>
      <xdr:col>9</xdr:col>
      <xdr:colOff>296955</xdr:colOff>
      <xdr:row>25</xdr:row>
      <xdr:rowOff>155762</xdr:rowOff>
    </xdr:to>
    <xdr:graphicFrame macro="">
      <xdr:nvGraphicFramePr>
        <xdr:cNvPr id="2" name="Diagramm 1">
          <a:extLst>
            <a:ext uri="{FF2B5EF4-FFF2-40B4-BE49-F238E27FC236}">
              <a16:creationId xmlns:a16="http://schemas.microsoft.com/office/drawing/2014/main" id="{E463BAF7-0C87-4AE4-9980-716FD7C8CA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6</xdr:col>
      <xdr:colOff>119902</xdr:colOff>
      <xdr:row>14</xdr:row>
      <xdr:rowOff>108696</xdr:rowOff>
    </xdr:from>
    <xdr:ext cx="2320443" cy="417294"/>
    <mc:AlternateContent xmlns:mc="http://schemas.openxmlformats.org/markup-compatibility/2006" xmlns:a14="http://schemas.microsoft.com/office/drawing/2010/main">
      <mc:Choice Requires="a14">
        <xdr:sp macro="" textlink="">
          <xdr:nvSpPr>
            <xdr:cNvPr id="3" name="Textfeld 3">
              <a:extLst>
                <a:ext uri="{FF2B5EF4-FFF2-40B4-BE49-F238E27FC236}">
                  <a16:creationId xmlns:a16="http://schemas.microsoft.com/office/drawing/2014/main" id="{B2D50B83-0037-4116-87EE-63CFDFB9A7B7}"/>
                </a:ext>
              </a:extLst>
            </xdr:cNvPr>
            <xdr:cNvSpPr txBox="1"/>
          </xdr:nvSpPr>
          <xdr:spPr>
            <a:xfrm>
              <a:off x="10171952" y="11259296"/>
              <a:ext cx="2320443" cy="4172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de-DE" sz="1100" b="0" i="1">
                        <a:latin typeface="Cambria Math" panose="02040503050406030204" pitchFamily="18" charset="0"/>
                      </a:rPr>
                      <m:t>𝐸𝐹𝐶</m:t>
                    </m:r>
                    <m:r>
                      <a:rPr lang="de-DE" sz="1100" b="0" i="1">
                        <a:latin typeface="Cambria Math" panose="02040503050406030204" pitchFamily="18" charset="0"/>
                      </a:rPr>
                      <m:t>=</m:t>
                    </m:r>
                    <m:sSub>
                      <m:sSubPr>
                        <m:ctrlPr>
                          <a:rPr lang="de-DE" sz="1100" b="0" i="1">
                            <a:latin typeface="Cambria Math" panose="02040503050406030204" pitchFamily="18" charset="0"/>
                          </a:rPr>
                        </m:ctrlPr>
                      </m:sSubPr>
                      <m:e>
                        <m:r>
                          <a:rPr lang="de-DE" sz="1100" b="0" i="1">
                            <a:latin typeface="Cambria Math" panose="02040503050406030204" pitchFamily="18" charset="0"/>
                          </a:rPr>
                          <m:t>𝑁</m:t>
                        </m:r>
                      </m:e>
                      <m:sub>
                        <m:r>
                          <a:rPr lang="de-DE" sz="1100" b="0" i="1">
                            <a:latin typeface="Cambria Math" panose="02040503050406030204" pitchFamily="18" charset="0"/>
                          </a:rPr>
                          <m:t>𝑛𝑜𝑚</m:t>
                        </m:r>
                      </m:sub>
                    </m:sSub>
                    <m:r>
                      <a:rPr lang="de-DE" sz="1100" b="0" i="1">
                        <a:latin typeface="Cambria Math" panose="02040503050406030204" pitchFamily="18" charset="0"/>
                      </a:rPr>
                      <m:t>•</m:t>
                    </m:r>
                    <m:sSup>
                      <m:sSupPr>
                        <m:ctrlPr>
                          <a:rPr lang="de-DE" sz="1100" b="0" i="1">
                            <a:latin typeface="Cambria Math" panose="02040503050406030204" pitchFamily="18" charset="0"/>
                          </a:rPr>
                        </m:ctrlPr>
                      </m:sSupPr>
                      <m:e>
                        <m:d>
                          <m:dPr>
                            <m:ctrlPr>
                              <a:rPr lang="de-DE" sz="1100" b="0" i="1">
                                <a:latin typeface="Cambria Math" panose="02040503050406030204" pitchFamily="18" charset="0"/>
                              </a:rPr>
                            </m:ctrlPr>
                          </m:dPr>
                          <m:e>
                            <m:f>
                              <m:fPr>
                                <m:ctrlPr>
                                  <a:rPr lang="de-DE" sz="1100" b="0" i="1">
                                    <a:latin typeface="Cambria Math" panose="02040503050406030204" pitchFamily="18" charset="0"/>
                                  </a:rPr>
                                </m:ctrlPr>
                              </m:fPr>
                              <m:num>
                                <m:r>
                                  <a:rPr lang="de-DE" sz="1100" b="0" i="1">
                                    <a:latin typeface="Cambria Math" panose="02040503050406030204" pitchFamily="18" charset="0"/>
                                  </a:rPr>
                                  <m:t>𝐷𝑂</m:t>
                                </m:r>
                                <m:sSub>
                                  <m:sSubPr>
                                    <m:ctrlPr>
                                      <a:rPr lang="de-DE" sz="1100" b="0" i="1">
                                        <a:latin typeface="Cambria Math" panose="02040503050406030204" pitchFamily="18" charset="0"/>
                                      </a:rPr>
                                    </m:ctrlPr>
                                  </m:sSubPr>
                                  <m:e>
                                    <m:r>
                                      <a:rPr lang="de-DE" sz="1100" b="0" i="1">
                                        <a:latin typeface="Cambria Math" panose="02040503050406030204" pitchFamily="18" charset="0"/>
                                      </a:rPr>
                                      <m:t>𝐷</m:t>
                                    </m:r>
                                  </m:e>
                                  <m:sub>
                                    <m:r>
                                      <a:rPr lang="de-DE" sz="1100" b="0" i="1">
                                        <a:latin typeface="Cambria Math" panose="02040503050406030204" pitchFamily="18" charset="0"/>
                                      </a:rPr>
                                      <m:t>𝑛𝑜𝑚</m:t>
                                    </m:r>
                                  </m:sub>
                                </m:sSub>
                              </m:num>
                              <m:den>
                                <m:r>
                                  <a:rPr lang="de-DE" sz="1100" b="0" i="1">
                                    <a:latin typeface="Cambria Math" panose="02040503050406030204" pitchFamily="18" charset="0"/>
                                  </a:rPr>
                                  <m:t>𝐷𝑂𝐷</m:t>
                                </m:r>
                              </m:den>
                            </m:f>
                          </m:e>
                        </m:d>
                      </m:e>
                      <m:sup>
                        <m:r>
                          <a:rPr lang="de-DE" sz="1100" b="0" i="1">
                            <a:latin typeface="Cambria Math" panose="02040503050406030204" pitchFamily="18" charset="0"/>
                          </a:rPr>
                          <m:t>𝑏</m:t>
                        </m:r>
                      </m:sup>
                    </m:sSup>
                    <m:r>
                      <a:rPr lang="de-DE" sz="1100" b="0" i="1">
                        <a:latin typeface="Cambria Math" panose="02040503050406030204" pitchFamily="18" charset="0"/>
                      </a:rPr>
                      <m:t>•</m:t>
                    </m:r>
                    <m:f>
                      <m:fPr>
                        <m:ctrlPr>
                          <a:rPr lang="de-DE" sz="1100" b="0" i="1">
                            <a:latin typeface="Cambria Math" panose="02040503050406030204" pitchFamily="18" charset="0"/>
                          </a:rPr>
                        </m:ctrlPr>
                      </m:fPr>
                      <m:num>
                        <m:r>
                          <a:rPr lang="de-DE" sz="1100" b="0" i="1">
                            <a:latin typeface="Cambria Math" panose="02040503050406030204" pitchFamily="18" charset="0"/>
                          </a:rPr>
                          <m:t>𝐷𝑂𝐷</m:t>
                        </m:r>
                      </m:num>
                      <m:den>
                        <m:r>
                          <a:rPr lang="de-DE" sz="1100" b="0" i="1">
                            <a:latin typeface="Cambria Math" panose="02040503050406030204" pitchFamily="18" charset="0"/>
                          </a:rPr>
                          <m:t>𝐷𝑂</m:t>
                        </m:r>
                        <m:sSub>
                          <m:sSubPr>
                            <m:ctrlPr>
                              <a:rPr lang="de-DE" sz="1100" b="0" i="1">
                                <a:latin typeface="Cambria Math" panose="02040503050406030204" pitchFamily="18" charset="0"/>
                              </a:rPr>
                            </m:ctrlPr>
                          </m:sSubPr>
                          <m:e>
                            <m:r>
                              <a:rPr lang="de-DE" sz="1100" b="0" i="1">
                                <a:latin typeface="Cambria Math" panose="02040503050406030204" pitchFamily="18" charset="0"/>
                              </a:rPr>
                              <m:t>𝐷</m:t>
                            </m:r>
                          </m:e>
                          <m:sub>
                            <m:r>
                              <a:rPr lang="de-DE" sz="1100" b="0" i="1">
                                <a:latin typeface="Cambria Math" panose="02040503050406030204" pitchFamily="18" charset="0"/>
                              </a:rPr>
                              <m:t>𝑛𝑜𝑚</m:t>
                            </m:r>
                          </m:sub>
                        </m:sSub>
                      </m:den>
                    </m:f>
                  </m:oMath>
                </m:oMathPara>
              </a14:m>
              <a:endParaRPr lang="de-DE" sz="1100"/>
            </a:p>
          </xdr:txBody>
        </xdr:sp>
      </mc:Choice>
      <mc:Fallback xmlns="">
        <xdr:sp macro="" textlink="">
          <xdr:nvSpPr>
            <xdr:cNvPr id="3" name="Textfeld 3">
              <a:extLst>
                <a:ext uri="{FF2B5EF4-FFF2-40B4-BE49-F238E27FC236}">
                  <a16:creationId xmlns:a16="http://schemas.microsoft.com/office/drawing/2014/main" id="{B2D50B83-0037-4116-87EE-63CFDFB9A7B7}"/>
                </a:ext>
              </a:extLst>
            </xdr:cNvPr>
            <xdr:cNvSpPr txBox="1"/>
          </xdr:nvSpPr>
          <xdr:spPr>
            <a:xfrm>
              <a:off x="10171952" y="11259296"/>
              <a:ext cx="2320443" cy="41729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de-DE" sz="1100" b="0" i="0">
                  <a:latin typeface="Cambria Math" panose="02040503050406030204" pitchFamily="18" charset="0"/>
                </a:rPr>
                <a:t>𝐸𝐹𝐶=𝑁_𝑛𝑜𝑚•((𝐷𝑂𝐷_𝑛𝑜𝑚)/𝐷𝑂𝐷)^𝑏•𝐷𝑂𝐷/(𝐷𝑂𝐷_𝑛𝑜𝑚 )</a:t>
              </a:r>
              <a:endParaRPr lang="de-DE" sz="1100"/>
            </a:p>
          </xdr:txBody>
        </xdr:sp>
      </mc:Fallback>
    </mc:AlternateContent>
    <xdr:clientData/>
  </xdr:oneCellAnchor>
</xdr:wsDr>
</file>

<file path=xl/drawings/drawing6.xml><?xml version="1.0" encoding="utf-8"?>
<xdr:wsDr xmlns:xdr="http://schemas.openxmlformats.org/drawingml/2006/spreadsheetDrawing" xmlns:a="http://schemas.openxmlformats.org/drawingml/2006/main">
  <xdr:twoCellAnchor editAs="oneCell">
    <xdr:from>
      <xdr:col>1</xdr:col>
      <xdr:colOff>177800</xdr:colOff>
      <xdr:row>3</xdr:row>
      <xdr:rowOff>165100</xdr:rowOff>
    </xdr:from>
    <xdr:to>
      <xdr:col>9</xdr:col>
      <xdr:colOff>463815</xdr:colOff>
      <xdr:row>35</xdr:row>
      <xdr:rowOff>12995</xdr:rowOff>
    </xdr:to>
    <xdr:pic>
      <xdr:nvPicPr>
        <xdr:cNvPr id="2" name="Picture 1">
          <a:extLst>
            <a:ext uri="{FF2B5EF4-FFF2-40B4-BE49-F238E27FC236}">
              <a16:creationId xmlns:a16="http://schemas.microsoft.com/office/drawing/2014/main" id="{560A4496-8597-ED06-5DA5-70B905165CDD}"/>
            </a:ext>
          </a:extLst>
        </xdr:cNvPr>
        <xdr:cNvPicPr>
          <a:picLocks noChangeAspect="1"/>
        </xdr:cNvPicPr>
      </xdr:nvPicPr>
      <xdr:blipFill>
        <a:blip xmlns:r="http://schemas.openxmlformats.org/officeDocument/2006/relationships" r:embed="rId1"/>
        <a:stretch>
          <a:fillRect/>
        </a:stretch>
      </xdr:blipFill>
      <xdr:spPr>
        <a:xfrm>
          <a:off x="787400" y="717550"/>
          <a:ext cx="5162815" cy="5740695"/>
        </a:xfrm>
        <a:prstGeom prst="rect">
          <a:avLst/>
        </a:prstGeom>
      </xdr:spPr>
    </xdr:pic>
    <xdr:clientData/>
  </xdr:twoCellAnchor>
  <xdr:twoCellAnchor editAs="oneCell">
    <xdr:from>
      <xdr:col>1</xdr:col>
      <xdr:colOff>152400</xdr:colOff>
      <xdr:row>34</xdr:row>
      <xdr:rowOff>107950</xdr:rowOff>
    </xdr:from>
    <xdr:to>
      <xdr:col>9</xdr:col>
      <xdr:colOff>406664</xdr:colOff>
      <xdr:row>66</xdr:row>
      <xdr:rowOff>32049</xdr:rowOff>
    </xdr:to>
    <xdr:pic>
      <xdr:nvPicPr>
        <xdr:cNvPr id="3" name="Picture 2">
          <a:extLst>
            <a:ext uri="{FF2B5EF4-FFF2-40B4-BE49-F238E27FC236}">
              <a16:creationId xmlns:a16="http://schemas.microsoft.com/office/drawing/2014/main" id="{66D25D5D-0A6A-7830-CED6-774873460CD9}"/>
            </a:ext>
          </a:extLst>
        </xdr:cNvPr>
        <xdr:cNvPicPr>
          <a:picLocks noChangeAspect="1"/>
        </xdr:cNvPicPr>
      </xdr:nvPicPr>
      <xdr:blipFill>
        <a:blip xmlns:r="http://schemas.openxmlformats.org/officeDocument/2006/relationships" r:embed="rId2"/>
        <a:stretch>
          <a:fillRect/>
        </a:stretch>
      </xdr:blipFill>
      <xdr:spPr>
        <a:xfrm>
          <a:off x="762000" y="6369050"/>
          <a:ext cx="5131064" cy="5816899"/>
        </a:xfrm>
        <a:prstGeom prst="rect">
          <a:avLst/>
        </a:prstGeom>
      </xdr:spPr>
    </xdr:pic>
    <xdr:clientData/>
  </xdr:twoCellAnchor>
  <xdr:twoCellAnchor editAs="oneCell">
    <xdr:from>
      <xdr:col>1</xdr:col>
      <xdr:colOff>196850</xdr:colOff>
      <xdr:row>64</xdr:row>
      <xdr:rowOff>107950</xdr:rowOff>
    </xdr:from>
    <xdr:to>
      <xdr:col>9</xdr:col>
      <xdr:colOff>425712</xdr:colOff>
      <xdr:row>95</xdr:row>
      <xdr:rowOff>63791</xdr:rowOff>
    </xdr:to>
    <xdr:pic>
      <xdr:nvPicPr>
        <xdr:cNvPr id="4" name="Picture 3">
          <a:extLst>
            <a:ext uri="{FF2B5EF4-FFF2-40B4-BE49-F238E27FC236}">
              <a16:creationId xmlns:a16="http://schemas.microsoft.com/office/drawing/2014/main" id="{5E07F5C4-164F-2AAE-170F-1DDBD39FFBE9}"/>
            </a:ext>
          </a:extLst>
        </xdr:cNvPr>
        <xdr:cNvPicPr>
          <a:picLocks noChangeAspect="1"/>
        </xdr:cNvPicPr>
      </xdr:nvPicPr>
      <xdr:blipFill>
        <a:blip xmlns:r="http://schemas.openxmlformats.org/officeDocument/2006/relationships" r:embed="rId3"/>
        <a:stretch>
          <a:fillRect/>
        </a:stretch>
      </xdr:blipFill>
      <xdr:spPr>
        <a:xfrm>
          <a:off x="806450" y="11893550"/>
          <a:ext cx="5105662" cy="5664491"/>
        </a:xfrm>
        <a:prstGeom prst="rect">
          <a:avLst/>
        </a:prstGeom>
      </xdr:spPr>
    </xdr:pic>
    <xdr:clientData/>
  </xdr:twoCellAnchor>
  <xdr:twoCellAnchor editAs="oneCell">
    <xdr:from>
      <xdr:col>1</xdr:col>
      <xdr:colOff>184150</xdr:colOff>
      <xdr:row>93</xdr:row>
      <xdr:rowOff>139700</xdr:rowOff>
    </xdr:from>
    <xdr:to>
      <xdr:col>9</xdr:col>
      <xdr:colOff>393961</xdr:colOff>
      <xdr:row>126</xdr:row>
      <xdr:rowOff>120961</xdr:rowOff>
    </xdr:to>
    <xdr:pic>
      <xdr:nvPicPr>
        <xdr:cNvPr id="5" name="Picture 4">
          <a:extLst>
            <a:ext uri="{FF2B5EF4-FFF2-40B4-BE49-F238E27FC236}">
              <a16:creationId xmlns:a16="http://schemas.microsoft.com/office/drawing/2014/main" id="{52F76535-019D-6236-946F-87C0FDAD88A9}"/>
            </a:ext>
          </a:extLst>
        </xdr:cNvPr>
        <xdr:cNvPicPr>
          <a:picLocks noChangeAspect="1"/>
        </xdr:cNvPicPr>
      </xdr:nvPicPr>
      <xdr:blipFill>
        <a:blip xmlns:r="http://schemas.openxmlformats.org/officeDocument/2006/relationships" r:embed="rId4"/>
        <a:stretch>
          <a:fillRect/>
        </a:stretch>
      </xdr:blipFill>
      <xdr:spPr>
        <a:xfrm>
          <a:off x="793750" y="17265650"/>
          <a:ext cx="5086611" cy="605821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hyperlink" Target="https://www.pnnl.gov/sites/default/files/media/file/ESGC%20Cost%20Performance%20Report%202022%20PNNL-33283.pdf" TargetMode="External"/><Relationship Id="rId2" Type="http://schemas.openxmlformats.org/officeDocument/2006/relationships/hyperlink" Target="http://www.acatech.de/fileadmin/user_upload/Baumstruktur_nach_Website/Acatech/root/de/Publikationen/Materialien/ESYS_Technologiesteckbrief_Energiespeicher.pdf" TargetMode="External"/><Relationship Id="rId1" Type="http://schemas.openxmlformats.org/officeDocument/2006/relationships/hyperlink" Target="https://sei.info.yorku.ca/files/2013/03/Sauer2.pdf" TargetMode="External"/><Relationship Id="rId4"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3" Type="http://schemas.openxmlformats.org/officeDocument/2006/relationships/hyperlink" Target="https://www.pnnl.gov/sites/default/files/media/file/ESGC%20Cost%20Performance%20Report%202022%20PNNL-33283.pdf" TargetMode="External"/><Relationship Id="rId2" Type="http://schemas.openxmlformats.org/officeDocument/2006/relationships/hyperlink" Target="https://www.pv-magazine.com/2025/01/10/worlds-largest-compressed-air-energy-storage-facility-commences-full-operation-in-china/" TargetMode="External"/><Relationship Id="rId1" Type="http://schemas.openxmlformats.org/officeDocument/2006/relationships/hyperlink" Target="http://www.acatech.de/fileadmin/user_upload/Baumstruktur_nach_Website/Acatech/root/de/Publikationen/Materialien/ESYS_Technologiesteckbrief_Energiespeicher.pdf" TargetMode="External"/><Relationship Id="rId5" Type="http://schemas.openxmlformats.org/officeDocument/2006/relationships/printerSettings" Target="../printerSettings/printerSettings11.bin"/><Relationship Id="rId4" Type="http://schemas.openxmlformats.org/officeDocument/2006/relationships/hyperlink" Target="https://sei.info.yorku.ca/files/2013/03/Sauer2.pdf"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mailto:costs@irena.org" TargetMode="External"/></Relationships>
</file>

<file path=xl/worksheets/_rels/sheet20.xml.rels><?xml version="1.0" encoding="UTF-8" standalone="yes"?>
<Relationships xmlns="http://schemas.openxmlformats.org/package/2006/relationships"><Relationship Id="rId3" Type="http://schemas.openxmlformats.org/officeDocument/2006/relationships/hyperlink" Target="http://www.irena.org/documentdownloads/publications/irena_battery_storage_report_2015.pdf" TargetMode="External"/><Relationship Id="rId2" Type="http://schemas.openxmlformats.org/officeDocument/2006/relationships/hyperlink" Target="http://www.acatech.de/fileadmin/user_upload/Baumstruktur_nach_Website/Acatech/root/de/Publikationen/Materialien/ESYS_Technologiesteckbrief_Energiespeicher.pdf" TargetMode="External"/><Relationship Id="rId1" Type="http://schemas.openxmlformats.org/officeDocument/2006/relationships/hyperlink" Target="http://www.speicherinitiative.at/assets/Uploads/03-Batterienspeicher.pdf" TargetMode="External"/><Relationship Id="rId6" Type="http://schemas.openxmlformats.org/officeDocument/2006/relationships/printerSettings" Target="../printerSettings/printerSettings15.bin"/><Relationship Id="rId5" Type="http://schemas.openxmlformats.org/officeDocument/2006/relationships/hyperlink" Target="https://www.pnnl.gov/sites/default/files/media/file/ESGC%20Cost%20Performance%20Report%202022%20PNNL-33283.pdf" TargetMode="External"/><Relationship Id="rId4" Type="http://schemas.openxmlformats.org/officeDocument/2006/relationships/hyperlink" Target="https://sei.info.yorku.ca/files/2013/03/Sauer2.pdf"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hyperlink" Target="http://www.acatech.de/fileadmin/user_upload/Baumstruktur_nach_Website/Acatech/root/de/Publikationen/Materialien/ESYS_Technologiesteckbrief_Energiespeicher.pdf" TargetMode="External"/><Relationship Id="rId7" Type="http://schemas.openxmlformats.org/officeDocument/2006/relationships/printerSettings" Target="../printerSettings/printerSettings17.bin"/><Relationship Id="rId2" Type="http://schemas.openxmlformats.org/officeDocument/2006/relationships/hyperlink" Target="http://www.speicherinitiative.at/assets/Uploads/03-Batterienspeicher.pdf" TargetMode="External"/><Relationship Id="rId1" Type="http://schemas.openxmlformats.org/officeDocument/2006/relationships/hyperlink" Target="http://www.speicherinitiative.at/assets/Uploads/19-AgoraEnergiewende-Speicherstudie-Langfassung.pdf" TargetMode="External"/><Relationship Id="rId6" Type="http://schemas.openxmlformats.org/officeDocument/2006/relationships/hyperlink" Target="https://www.pnnl.gov/sites/default/files/media/file/ESGC%20Cost%20Performance%20Report%202022%20PNNL-33283.pdf" TargetMode="External"/><Relationship Id="rId5" Type="http://schemas.openxmlformats.org/officeDocument/2006/relationships/hyperlink" Target="https://sei.info.yorku.ca/files/2013/03/Sauer2.pdf" TargetMode="External"/><Relationship Id="rId4" Type="http://schemas.openxmlformats.org/officeDocument/2006/relationships/hyperlink" Target="http://www.irena.org/documentdownloads/publications/irena_battery_storage_report_2015.pdf" TargetMode="External"/></Relationships>
</file>

<file path=xl/worksheets/_rels/sheet24.xml.rels><?xml version="1.0" encoding="UTF-8" standalone="yes"?>
<Relationships xmlns="http://schemas.openxmlformats.org/package/2006/relationships"><Relationship Id="rId3" Type="http://schemas.openxmlformats.org/officeDocument/2006/relationships/hyperlink" Target="https://www.heise.de/hintergrund/Batteries-for-electric-cars-Sodium-cells-on-the-advance-9193645.html" TargetMode="External"/><Relationship Id="rId2" Type="http://schemas.openxmlformats.org/officeDocument/2006/relationships/hyperlink" Target="https://norwatt.es/noticia-industrial-batteries--chapter-3-part-2-2--lithium-ion-battery-types-es.html" TargetMode="External"/><Relationship Id="rId1" Type="http://schemas.openxmlformats.org/officeDocument/2006/relationships/hyperlink" Target="http://www.irena.org/documentdownloads/publications/irena_battery_storage_report_2015.pdf" TargetMode="External"/><Relationship Id="rId6" Type="http://schemas.openxmlformats.org/officeDocument/2006/relationships/printerSettings" Target="../printerSettings/printerSettings18.bin"/><Relationship Id="rId5" Type="http://schemas.openxmlformats.org/officeDocument/2006/relationships/hyperlink" Target="https://www.isi.fraunhofer.de/content/dam/isi/dokumente/cct/2023/Fraunhofer-ISI_LIB-Roadmap-2023.pdf" TargetMode="External"/><Relationship Id="rId4" Type="http://schemas.openxmlformats.org/officeDocument/2006/relationships/hyperlink" Target="https://sei.info.yorku.ca/files/2013/03/Sauer2.pdf" TargetMode="External"/></Relationships>
</file>

<file path=xl/worksheets/_rels/sheet2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8" Type="http://schemas.openxmlformats.org/officeDocument/2006/relationships/hyperlink" Target="https://docs.nrel.gov/docs/fy23osti/85332.pdf" TargetMode="External"/><Relationship Id="rId13" Type="http://schemas.openxmlformats.org/officeDocument/2006/relationships/hyperlink" Target="https://sei.info.yorku.ca/files/2013/03/Sauer2.pdf" TargetMode="External"/><Relationship Id="rId3" Type="http://schemas.openxmlformats.org/officeDocument/2006/relationships/hyperlink" Target="http://www.irena.org/documentdownloads/publications/irena_battery_storage_report_2015.pdf" TargetMode="External"/><Relationship Id="rId7" Type="http://schemas.openxmlformats.org/officeDocument/2006/relationships/hyperlink" Target="https://about.bnef.com/insights/commodities/lithium-ion-battery-pack-prices-see-largest-drop-since-2017-falling-to-115-per-kilowatt-hour-bloombergnef/" TargetMode="External"/><Relationship Id="rId12" Type="http://schemas.openxmlformats.org/officeDocument/2006/relationships/hyperlink" Target="https://www.eia.gov/analysis/studies/powerplants/capitalcost/pdf/capital_cost_AEO2025.pdf" TargetMode="External"/><Relationship Id="rId2" Type="http://schemas.openxmlformats.org/officeDocument/2006/relationships/hyperlink" Target="http://www.acatech.de/fileadmin/user_upload/Baumstruktur_nach_Website/Acatech/root/de/Publikationen/Materialien/ESYS_Technologiesteckbrief_Energiespeicher.pdf" TargetMode="External"/><Relationship Id="rId1" Type="http://schemas.openxmlformats.org/officeDocument/2006/relationships/hyperlink" Target="http://www.speicherinitiative.at/assets/Uploads/03-Batterienspeicher.pdf" TargetMode="External"/><Relationship Id="rId6" Type="http://schemas.openxmlformats.org/officeDocument/2006/relationships/hyperlink" Target="https://www.nature.com/articles/s41560-024-01701-9.pdf" TargetMode="External"/><Relationship Id="rId11" Type="http://schemas.openxmlformats.org/officeDocument/2006/relationships/hyperlink" Target="https://www.sciencedirect.com/science/article/pii/S2950264025000103" TargetMode="External"/><Relationship Id="rId5" Type="http://schemas.openxmlformats.org/officeDocument/2006/relationships/hyperlink" Target="https://www.irena.org/-/media/Files/IRENA/Agency/Publication/2017/Oct/IRENA_Electricity_Storage_Costs_2017.pdf" TargetMode="External"/><Relationship Id="rId15" Type="http://schemas.openxmlformats.org/officeDocument/2006/relationships/printerSettings" Target="../printerSettings/printerSettings20.bin"/><Relationship Id="rId10" Type="http://schemas.openxmlformats.org/officeDocument/2006/relationships/hyperlink" Target="https://atb.nrel.gov/electricity/2024/utility-scale_battery_storage" TargetMode="External"/><Relationship Id="rId4" Type="http://schemas.openxmlformats.org/officeDocument/2006/relationships/hyperlink" Target="https://8msolar.com/lithium-ferro-phosphate-lfp-battery-technology" TargetMode="External"/><Relationship Id="rId9" Type="http://schemas.openxmlformats.org/officeDocument/2006/relationships/hyperlink" Target="https://www.energy.gov/sites/default/files/2023-09/2_Technology%20Strategy%20Assessment%20-%202%20Lithium-ion_508.pdf" TargetMode="External"/><Relationship Id="rId14" Type="http://schemas.openxmlformats.org/officeDocument/2006/relationships/hyperlink" Target="https://www.isi.fraunhofer.de/content/dam/isi/dokumente/cct/2023/Fraunhofer-ISI_LIB-Roadmap-2023.pdf" TargetMode="External"/></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21.bin"/><Relationship Id="rId3" Type="http://schemas.openxmlformats.org/officeDocument/2006/relationships/hyperlink" Target="http://www.irena.org/documentdownloads/publications/irena_battery_storage_report_2015.pdf" TargetMode="External"/><Relationship Id="rId7" Type="http://schemas.openxmlformats.org/officeDocument/2006/relationships/hyperlink" Target="https://link.springer.com/article/10.1007/s10098-024-02894-z" TargetMode="External"/><Relationship Id="rId2" Type="http://schemas.openxmlformats.org/officeDocument/2006/relationships/hyperlink" Target="http://www.acatech.de/fileadmin/user_upload/Baumstruktur_nach_Website/Acatech/root/de/Publikationen/Materialien/ESYS_Technologiesteckbrief_Energiespeicher.pdf" TargetMode="External"/><Relationship Id="rId1" Type="http://schemas.openxmlformats.org/officeDocument/2006/relationships/hyperlink" Target="http://www.speicherinitiative.at/assets/Uploads/03-Batterienspeicher.pdf" TargetMode="External"/><Relationship Id="rId6" Type="http://schemas.openxmlformats.org/officeDocument/2006/relationships/hyperlink" Target="https://sei.info.yorku.ca/files/2013/03/Sauer2.pdf" TargetMode="External"/><Relationship Id="rId5" Type="http://schemas.openxmlformats.org/officeDocument/2006/relationships/hyperlink" Target="https://www.global-batteries.com/the-technical-advantages-of-lithium-titanate-lto-cells-for-enhanced-energy-efficiency/" TargetMode="External"/><Relationship Id="rId4" Type="http://schemas.openxmlformats.org/officeDocument/2006/relationships/hyperlink" Target="https://climatebiz.com/author/ana-lejtma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3" Type="http://schemas.openxmlformats.org/officeDocument/2006/relationships/hyperlink" Target="https://www.isi.fraunhofer.de/content/dam/isi/dokumente/cct/2023/abt-roadmap.pdf" TargetMode="External"/><Relationship Id="rId7" Type="http://schemas.openxmlformats.org/officeDocument/2006/relationships/printerSettings" Target="../printerSettings/printerSettings22.bin"/><Relationship Id="rId2" Type="http://schemas.openxmlformats.org/officeDocument/2006/relationships/hyperlink" Target="https://link.springer.com/chapter/10.1007/978-3-031-48359-2_14" TargetMode="External"/><Relationship Id="rId1" Type="http://schemas.openxmlformats.org/officeDocument/2006/relationships/hyperlink" Target="https://www.nature.com/articles/s41560-024-01701-9.pdf" TargetMode="External"/><Relationship Id="rId6" Type="http://schemas.openxmlformats.org/officeDocument/2006/relationships/hyperlink" Target="https://iopscience.iop.org/article/10.1088/2515-7655/ac01ef" TargetMode="External"/><Relationship Id="rId5" Type="http://schemas.openxmlformats.org/officeDocument/2006/relationships/hyperlink" Target="https://pubs.acs.org/doi/10.1021/jacs.4c17713" TargetMode="External"/><Relationship Id="rId4" Type="http://schemas.openxmlformats.org/officeDocument/2006/relationships/hyperlink" Target="https://pubs.rsc.org/en/content/articlelanding/2024/ee/d3ee02934d" TargetMode="External"/></Relationships>
</file>

<file path=xl/worksheets/_rels/sheet32.xml.rels><?xml version="1.0" encoding="UTF-8" standalone="yes"?>
<Relationships xmlns="http://schemas.openxmlformats.org/package/2006/relationships"><Relationship Id="rId3" Type="http://schemas.openxmlformats.org/officeDocument/2006/relationships/hyperlink" Target="https://www.pnnl.gov/sites/default/files/media/file/ESGC%20Cost%20Performance%20Report%202022%20PNNL-33283.pdf" TargetMode="External"/><Relationship Id="rId7" Type="http://schemas.openxmlformats.org/officeDocument/2006/relationships/printerSettings" Target="../printerSettings/printerSettings23.bin"/><Relationship Id="rId2" Type="http://schemas.openxmlformats.org/officeDocument/2006/relationships/hyperlink" Target="https://www.isi.fraunhofer.de/content/dam/isi/dokumente/cct/2023/abt-roadmap.pdf" TargetMode="External"/><Relationship Id="rId1" Type="http://schemas.openxmlformats.org/officeDocument/2006/relationships/hyperlink" Target="https://www.bestmag.co.uk/new-zinc-ion-battery-with-longer-lifespan/" TargetMode="External"/><Relationship Id="rId6" Type="http://schemas.openxmlformats.org/officeDocument/2006/relationships/hyperlink" Target="https://www.sciencedirect.com/science/article/pii/S2542435123002301?utm_source=chatgpt.com" TargetMode="External"/><Relationship Id="rId5" Type="http://schemas.openxmlformats.org/officeDocument/2006/relationships/hyperlink" Target="https://pubs.acs.org/doi/10.1021/acsaem.5c01298?utm_source=chatgpt.com" TargetMode="External"/><Relationship Id="rId4" Type="http://schemas.openxmlformats.org/officeDocument/2006/relationships/hyperlink" Target="https://www.nature.com/articles/s41467-022-28381-x.pdf?utm_source=scopus&amp;getft_integrator=scopus"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hyperlink" Target="https://www.isi.fraunhofer.de/content/dam/isi/dokumente/cct/2023/abt-roadmap.pdf" TargetMode="External"/><Relationship Id="rId1" Type="http://schemas.openxmlformats.org/officeDocument/2006/relationships/hyperlink" Target="http://www.irena.org/documentdownloads/publications/irena_battery_storage_report_2015.pdf" TargetMode="External"/></Relationships>
</file>

<file path=xl/worksheets/_rels/sheet36.xml.rels><?xml version="1.0" encoding="UTF-8" standalone="yes"?>
<Relationships xmlns="http://schemas.openxmlformats.org/package/2006/relationships"><Relationship Id="rId3" Type="http://schemas.openxmlformats.org/officeDocument/2006/relationships/hyperlink" Target="https://sei.info.yorku.ca/files/2013/03/Sauer2.pdf" TargetMode="External"/><Relationship Id="rId2" Type="http://schemas.openxmlformats.org/officeDocument/2006/relationships/hyperlink" Target="http://www.irena.org/documentdownloads/publications/irena_battery_storage_report_2015.pdf" TargetMode="External"/><Relationship Id="rId1" Type="http://schemas.openxmlformats.org/officeDocument/2006/relationships/hyperlink" Target="http://www.speicherinitiative.at/assets/Uploads/03-Batterienspeicher.pdf" TargetMode="External"/><Relationship Id="rId5" Type="http://schemas.openxmlformats.org/officeDocument/2006/relationships/printerSettings" Target="../printerSettings/printerSettings26.bin"/><Relationship Id="rId4" Type="http://schemas.openxmlformats.org/officeDocument/2006/relationships/hyperlink" Target="https://www.isi.fraunhofer.de/content/dam/isi/dokumente/cct/2023/abt-roadmap.pdf" TargetMode="External"/></Relationships>
</file>

<file path=xl/worksheets/_rels/sheet38.xml.rels><?xml version="1.0" encoding="UTF-8" standalone="yes"?>
<Relationships xmlns="http://schemas.openxmlformats.org/package/2006/relationships"><Relationship Id="rId3" Type="http://schemas.openxmlformats.org/officeDocument/2006/relationships/hyperlink" Target="https://sei.info.yorku.ca/files/2013/03/Sauer2.pdf" TargetMode="External"/><Relationship Id="rId2" Type="http://schemas.openxmlformats.org/officeDocument/2006/relationships/hyperlink" Target="http://www.irena.org/documentdownloads/publications/irena_battery_storage_report_2015.pdf" TargetMode="External"/><Relationship Id="rId1" Type="http://schemas.openxmlformats.org/officeDocument/2006/relationships/hyperlink" Target="http://www.speicherinitiative.at/assets/Uploads/03-Batterienspeicher.pdf" TargetMode="External"/><Relationship Id="rId6" Type="http://schemas.openxmlformats.org/officeDocument/2006/relationships/printerSettings" Target="../printerSettings/printerSettings27.bin"/><Relationship Id="rId5" Type="http://schemas.openxmlformats.org/officeDocument/2006/relationships/hyperlink" Target="https://www.pnnl.gov/sites/default/files/media/file/ESGC%20Cost%20Performance%20Report%202022%20PNNL-33283.pdf" TargetMode="External"/><Relationship Id="rId4" Type="http://schemas.openxmlformats.org/officeDocument/2006/relationships/hyperlink" Target="https://www.isi.fraunhofer.de/content/dam/isi/dokumente/cct/2023/abt-roadmap.pdf"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3" Type="http://schemas.openxmlformats.org/officeDocument/2006/relationships/hyperlink" Target="https://sei.info.yorku.ca/files/2013/03/Sauer2.pdf" TargetMode="External"/><Relationship Id="rId2" Type="http://schemas.openxmlformats.org/officeDocument/2006/relationships/hyperlink" Target="http://www.irena.org/documentdownloads/publications/irena_battery_storage_report_2015.pdf" TargetMode="External"/><Relationship Id="rId1" Type="http://schemas.openxmlformats.org/officeDocument/2006/relationships/hyperlink" Target="http://www.speicherinitiative.at/assets/Uploads/03-Batterienspeicher.pdf" TargetMode="External"/><Relationship Id="rId6" Type="http://schemas.openxmlformats.org/officeDocument/2006/relationships/printerSettings" Target="../printerSettings/printerSettings28.bin"/><Relationship Id="rId5" Type="http://schemas.openxmlformats.org/officeDocument/2006/relationships/hyperlink" Target="https://www.isi.fraunhofer.de/content/dam/isi/dokumente/cct/2023/abt-roadmap.pdf" TargetMode="External"/><Relationship Id="rId4" Type="http://schemas.openxmlformats.org/officeDocument/2006/relationships/hyperlink" Target="https://www.pnnl.gov/sites/default/files/media/file/ESGC%20Cost%20Performance%20Report%202022%20PNNL-33283.pdf" TargetMode="External"/></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www.speicherinitiative.at/assets/Uploads/03-Batterienspeicher.pdf" TargetMode="External"/><Relationship Id="rId1" Type="http://schemas.openxmlformats.org/officeDocument/2006/relationships/hyperlink" Target="http://www.speicherinitiative.at/assets/Uploads/03-Batterienspeicher.pdf" TargetMode="External"/></Relationships>
</file>

<file path=xl/worksheets/_rels/sheet44.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www.speicherinitiative.at/assets/Uploads/03-Batterienspeicher.pdf" TargetMode="External"/><Relationship Id="rId1" Type="http://schemas.openxmlformats.org/officeDocument/2006/relationships/hyperlink" Target="http://www.speicherinitiative.at/assets/Uploads/03-Batterienspeicher.pdf" TargetMode="Externa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58C11E-0E97-42DA-9E73-1EF17863E78A}">
  <dimension ref="C8:M17"/>
  <sheetViews>
    <sheetView tabSelected="1" zoomScale="70" zoomScaleNormal="70" workbookViewId="0"/>
  </sheetViews>
  <sheetFormatPr defaultColWidth="8.64453125" defaultRowHeight="14.35" x14ac:dyDescent="0.5"/>
  <cols>
    <col min="1" max="16384" width="8.64453125" style="13"/>
  </cols>
  <sheetData>
    <row r="8" spans="3:13" ht="33.35" x14ac:dyDescent="1.1000000000000001">
      <c r="C8" s="414" t="s">
        <v>0</v>
      </c>
      <c r="D8" s="414"/>
      <c r="E8" s="414"/>
      <c r="F8" s="414"/>
      <c r="G8" s="414"/>
      <c r="H8" s="414"/>
      <c r="I8" s="414"/>
      <c r="J8" s="414"/>
    </row>
    <row r="9" spans="3:13" ht="33.35" x14ac:dyDescent="1.1000000000000001">
      <c r="D9"/>
      <c r="F9" s="414" t="s">
        <v>1</v>
      </c>
      <c r="G9" s="414"/>
    </row>
    <row r="10" spans="3:13" ht="33.35" x14ac:dyDescent="1.1000000000000001">
      <c r="F10" s="414">
        <v>2025</v>
      </c>
      <c r="G10" s="414"/>
    </row>
    <row r="13" spans="3:13" ht="89.25" customHeight="1" x14ac:dyDescent="0.5">
      <c r="C13" s="412" t="s">
        <v>2</v>
      </c>
      <c r="D13" s="412"/>
      <c r="E13" s="412"/>
      <c r="F13" s="412"/>
      <c r="G13" s="412"/>
      <c r="H13" s="412"/>
      <c r="I13" s="412"/>
      <c r="J13" s="412"/>
      <c r="K13" s="412"/>
      <c r="L13" s="412"/>
      <c r="M13" s="333"/>
    </row>
    <row r="14" spans="3:13" x14ac:dyDescent="0.5">
      <c r="L14" s="334"/>
    </row>
    <row r="15" spans="3:13" ht="114" customHeight="1" x14ac:dyDescent="0.5">
      <c r="C15" s="412" t="s">
        <v>3</v>
      </c>
      <c r="D15" s="412"/>
      <c r="E15" s="412"/>
      <c r="F15" s="412"/>
      <c r="G15" s="412"/>
      <c r="H15" s="412"/>
      <c r="I15" s="412"/>
      <c r="J15" s="412"/>
      <c r="K15" s="412"/>
      <c r="L15" s="413"/>
    </row>
    <row r="16" spans="3:13" x14ac:dyDescent="0.5">
      <c r="L16" s="334"/>
    </row>
    <row r="17" spans="3:12" ht="82.5" customHeight="1" x14ac:dyDescent="0.5">
      <c r="C17" s="412" t="s">
        <v>4</v>
      </c>
      <c r="D17" s="412"/>
      <c r="E17" s="412"/>
      <c r="F17" s="412"/>
      <c r="G17" s="412"/>
      <c r="H17" s="412"/>
      <c r="I17" s="412"/>
      <c r="J17" s="412"/>
      <c r="K17" s="412"/>
      <c r="L17" s="413"/>
    </row>
  </sheetData>
  <sheetProtection algorithmName="SHA-512" hashValue="0jtCZFXz9w3FLOyE+SM3uUUAMLktAJi3+6pylsrI6BFKCls+LtGl/lVty9mhmw+Bv82h0TbPLOrErxmKxRShIQ==" saltValue="Xtnrqe0/n+2+DudJIcYMFg==" spinCount="100000" sheet="1" objects="1" scenarios="1"/>
  <mergeCells count="6">
    <mergeCell ref="C17:L17"/>
    <mergeCell ref="F10:G10"/>
    <mergeCell ref="F9:G9"/>
    <mergeCell ref="C8:J8"/>
    <mergeCell ref="C13:L13"/>
    <mergeCell ref="C15:L15"/>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41"/>
  <sheetViews>
    <sheetView workbookViewId="0">
      <selection activeCell="F11" sqref="F11"/>
    </sheetView>
  </sheetViews>
  <sheetFormatPr defaultColWidth="11.46875" defaultRowHeight="14.35" x14ac:dyDescent="0.5"/>
  <cols>
    <col min="1" max="1" width="27" bestFit="1" customWidth="1"/>
  </cols>
  <sheetData>
    <row r="1" spans="1:2" x14ac:dyDescent="0.5">
      <c r="A1" s="113" t="s">
        <v>230</v>
      </c>
    </row>
    <row r="2" spans="1:2" x14ac:dyDescent="0.5">
      <c r="A2" s="113" t="s">
        <v>53</v>
      </c>
    </row>
    <row r="3" spans="1:2" x14ac:dyDescent="0.5">
      <c r="A3" s="113" t="s">
        <v>231</v>
      </c>
    </row>
    <row r="4" spans="1:2" x14ac:dyDescent="0.5">
      <c r="A4" s="113" t="s">
        <v>232</v>
      </c>
      <c r="B4" s="22"/>
    </row>
    <row r="5" spans="1:2" x14ac:dyDescent="0.5">
      <c r="A5" s="113" t="s">
        <v>233</v>
      </c>
    </row>
    <row r="6" spans="1:2" x14ac:dyDescent="0.5">
      <c r="A6" s="113" t="s">
        <v>234</v>
      </c>
      <c r="B6" s="22"/>
    </row>
    <row r="7" spans="1:2" x14ac:dyDescent="0.5">
      <c r="A7" s="113" t="s">
        <v>235</v>
      </c>
      <c r="B7" s="22"/>
    </row>
    <row r="8" spans="1:2" x14ac:dyDescent="0.5">
      <c r="B8" s="22"/>
    </row>
    <row r="9" spans="1:2" x14ac:dyDescent="0.5">
      <c r="A9" s="113"/>
      <c r="B9" s="22"/>
    </row>
    <row r="10" spans="1:2" x14ac:dyDescent="0.5">
      <c r="A10" s="113"/>
      <c r="B10" s="22"/>
    </row>
    <row r="11" spans="1:2" x14ac:dyDescent="0.5">
      <c r="A11" s="113"/>
      <c r="B11" s="22"/>
    </row>
    <row r="12" spans="1:2" x14ac:dyDescent="0.5">
      <c r="A12" s="115"/>
    </row>
    <row r="13" spans="1:2" x14ac:dyDescent="0.5">
      <c r="A13" s="113"/>
      <c r="B13" s="22"/>
    </row>
    <row r="14" spans="1:2" x14ac:dyDescent="0.5">
      <c r="A14" s="113"/>
    </row>
    <row r="15" spans="1:2" x14ac:dyDescent="0.5">
      <c r="A15" s="113"/>
      <c r="B15" s="111" t="s">
        <v>236</v>
      </c>
    </row>
    <row r="16" spans="1:2" x14ac:dyDescent="0.5">
      <c r="A16" s="113"/>
    </row>
    <row r="17" spans="1:1" x14ac:dyDescent="0.5">
      <c r="A17" s="113"/>
    </row>
    <row r="18" spans="1:1" x14ac:dyDescent="0.5">
      <c r="A18" s="113"/>
    </row>
    <row r="19" spans="1:1" x14ac:dyDescent="0.5">
      <c r="A19" s="113"/>
    </row>
    <row r="20" spans="1:1" x14ac:dyDescent="0.5">
      <c r="A20" s="113"/>
    </row>
    <row r="21" spans="1:1" x14ac:dyDescent="0.5">
      <c r="A21" s="113"/>
    </row>
    <row r="22" spans="1:1" x14ac:dyDescent="0.5">
      <c r="A22" s="113"/>
    </row>
    <row r="23" spans="1:1" x14ac:dyDescent="0.5">
      <c r="A23" s="113"/>
    </row>
    <row r="24" spans="1:1" x14ac:dyDescent="0.5">
      <c r="A24" s="113"/>
    </row>
    <row r="25" spans="1:1" x14ac:dyDescent="0.5">
      <c r="A25" s="113"/>
    </row>
    <row r="26" spans="1:1" x14ac:dyDescent="0.5">
      <c r="A26" s="113"/>
    </row>
    <row r="27" spans="1:1" x14ac:dyDescent="0.5">
      <c r="A27" s="113"/>
    </row>
    <row r="28" spans="1:1" x14ac:dyDescent="0.5">
      <c r="A28" s="113"/>
    </row>
    <row r="29" spans="1:1" x14ac:dyDescent="0.5">
      <c r="A29" s="113"/>
    </row>
    <row r="30" spans="1:1" x14ac:dyDescent="0.5">
      <c r="A30" s="113"/>
    </row>
    <row r="31" spans="1:1" x14ac:dyDescent="0.5">
      <c r="A31" s="113"/>
    </row>
    <row r="32" spans="1:1" x14ac:dyDescent="0.5">
      <c r="A32" s="113"/>
    </row>
    <row r="33" spans="1:1" x14ac:dyDescent="0.5">
      <c r="A33" s="113"/>
    </row>
    <row r="34" spans="1:1" x14ac:dyDescent="0.5">
      <c r="A34" s="113"/>
    </row>
    <row r="35" spans="1:1" x14ac:dyDescent="0.5">
      <c r="A35" s="113"/>
    </row>
    <row r="36" spans="1:1" x14ac:dyDescent="0.5">
      <c r="A36" s="113"/>
    </row>
    <row r="37" spans="1:1" x14ac:dyDescent="0.5">
      <c r="A37" s="113"/>
    </row>
    <row r="38" spans="1:1" x14ac:dyDescent="0.5">
      <c r="A38" s="113"/>
    </row>
    <row r="39" spans="1:1" x14ac:dyDescent="0.5">
      <c r="A39" s="113"/>
    </row>
    <row r="40" spans="1:1" x14ac:dyDescent="0.5">
      <c r="A40" s="113"/>
    </row>
    <row r="41" spans="1:1" x14ac:dyDescent="0.5">
      <c r="A41" s="114"/>
    </row>
  </sheetData>
  <pageMargins left="0.7" right="0.7" top="0.78740157499999996" bottom="0.78740157499999996"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6"/>
  <dimension ref="A1:B39"/>
  <sheetViews>
    <sheetView workbookViewId="0">
      <selection activeCell="D6" sqref="D6"/>
    </sheetView>
  </sheetViews>
  <sheetFormatPr defaultColWidth="11.46875" defaultRowHeight="14.35" x14ac:dyDescent="0.5"/>
  <cols>
    <col min="1" max="1" width="20.17578125" bestFit="1" customWidth="1"/>
  </cols>
  <sheetData>
    <row r="1" spans="1:2" x14ac:dyDescent="0.5">
      <c r="A1" s="113" t="s">
        <v>50</v>
      </c>
    </row>
    <row r="2" spans="1:2" x14ac:dyDescent="0.5">
      <c r="A2" s="113" t="s">
        <v>151</v>
      </c>
    </row>
    <row r="3" spans="1:2" x14ac:dyDescent="0.5">
      <c r="A3" s="113" t="s">
        <v>237</v>
      </c>
    </row>
    <row r="4" spans="1:2" x14ac:dyDescent="0.5">
      <c r="A4" s="113" t="s">
        <v>238</v>
      </c>
      <c r="B4" s="22"/>
    </row>
    <row r="5" spans="1:2" x14ac:dyDescent="0.5">
      <c r="A5" s="113" t="s">
        <v>239</v>
      </c>
    </row>
    <row r="6" spans="1:2" x14ac:dyDescent="0.5">
      <c r="A6" s="195" t="s">
        <v>153</v>
      </c>
      <c r="B6" s="22"/>
    </row>
    <row r="7" spans="1:2" x14ac:dyDescent="0.5">
      <c r="A7" s="195" t="s">
        <v>240</v>
      </c>
      <c r="B7" s="22"/>
    </row>
    <row r="8" spans="1:2" x14ac:dyDescent="0.5">
      <c r="A8" s="195" t="s">
        <v>241</v>
      </c>
      <c r="B8" s="22"/>
    </row>
    <row r="9" spans="1:2" x14ac:dyDescent="0.5">
      <c r="A9" s="195" t="s">
        <v>242</v>
      </c>
      <c r="B9" s="22"/>
    </row>
    <row r="10" spans="1:2" x14ac:dyDescent="0.5">
      <c r="A10" s="195" t="s">
        <v>243</v>
      </c>
      <c r="B10" s="22"/>
    </row>
    <row r="11" spans="1:2" x14ac:dyDescent="0.5">
      <c r="A11" s="196" t="s">
        <v>152</v>
      </c>
    </row>
    <row r="12" spans="1:2" x14ac:dyDescent="0.5">
      <c r="A12" s="195" t="s">
        <v>244</v>
      </c>
      <c r="B12" s="22"/>
    </row>
    <row r="13" spans="1:2" x14ac:dyDescent="0.5">
      <c r="A13" s="195" t="s">
        <v>245</v>
      </c>
    </row>
    <row r="14" spans="1:2" x14ac:dyDescent="0.5">
      <c r="A14" s="195" t="s">
        <v>154</v>
      </c>
      <c r="B14" s="111" t="s">
        <v>246</v>
      </c>
    </row>
    <row r="15" spans="1:2" x14ac:dyDescent="0.5">
      <c r="A15" s="113"/>
    </row>
    <row r="16" spans="1:2" x14ac:dyDescent="0.5">
      <c r="A16" s="113"/>
    </row>
    <row r="17" spans="1:1" x14ac:dyDescent="0.5">
      <c r="A17" s="113"/>
    </row>
    <row r="18" spans="1:1" x14ac:dyDescent="0.5">
      <c r="A18" s="113"/>
    </row>
    <row r="19" spans="1:1" x14ac:dyDescent="0.5">
      <c r="A19" s="113"/>
    </row>
    <row r="20" spans="1:1" x14ac:dyDescent="0.5">
      <c r="A20" s="113"/>
    </row>
    <row r="21" spans="1:1" x14ac:dyDescent="0.5">
      <c r="A21" s="113"/>
    </row>
    <row r="22" spans="1:1" x14ac:dyDescent="0.5">
      <c r="A22" s="113"/>
    </row>
    <row r="23" spans="1:1" x14ac:dyDescent="0.5">
      <c r="A23" s="113"/>
    </row>
    <row r="24" spans="1:1" x14ac:dyDescent="0.5">
      <c r="A24" s="113"/>
    </row>
    <row r="25" spans="1:1" x14ac:dyDescent="0.5">
      <c r="A25" s="113"/>
    </row>
    <row r="26" spans="1:1" x14ac:dyDescent="0.5">
      <c r="A26" s="113"/>
    </row>
    <row r="27" spans="1:1" x14ac:dyDescent="0.5">
      <c r="A27" s="113"/>
    </row>
    <row r="28" spans="1:1" x14ac:dyDescent="0.5">
      <c r="A28" s="113"/>
    </row>
    <row r="29" spans="1:1" x14ac:dyDescent="0.5">
      <c r="A29" s="113"/>
    </row>
    <row r="30" spans="1:1" x14ac:dyDescent="0.5">
      <c r="A30" s="113"/>
    </row>
    <row r="31" spans="1:1" x14ac:dyDescent="0.5">
      <c r="A31" s="113"/>
    </row>
    <row r="32" spans="1:1" x14ac:dyDescent="0.5">
      <c r="A32" s="113"/>
    </row>
    <row r="33" spans="1:1" x14ac:dyDescent="0.5">
      <c r="A33" s="113"/>
    </row>
    <row r="34" spans="1:1" x14ac:dyDescent="0.5">
      <c r="A34" s="113"/>
    </row>
    <row r="35" spans="1:1" x14ac:dyDescent="0.5">
      <c r="A35" s="113"/>
    </row>
    <row r="36" spans="1:1" x14ac:dyDescent="0.5">
      <c r="A36" s="113"/>
    </row>
    <row r="37" spans="1:1" x14ac:dyDescent="0.5">
      <c r="A37" s="113"/>
    </row>
    <row r="38" spans="1:1" x14ac:dyDescent="0.5">
      <c r="A38" s="113"/>
    </row>
    <row r="39" spans="1:1" x14ac:dyDescent="0.5">
      <c r="A39" s="114"/>
    </row>
  </sheetData>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964F9E-A64D-461A-ADA8-3F2C44EA3C2B}">
  <dimension ref="A1:F21"/>
  <sheetViews>
    <sheetView workbookViewId="0">
      <selection activeCell="J27" sqref="J27"/>
    </sheetView>
  </sheetViews>
  <sheetFormatPr defaultColWidth="9.17578125" defaultRowHeight="14.35" x14ac:dyDescent="0.5"/>
  <cols>
    <col min="4" max="4" width="9.52734375" bestFit="1" customWidth="1"/>
  </cols>
  <sheetData>
    <row r="1" spans="1:6" ht="54.75" customHeight="1" x14ac:dyDescent="0.5">
      <c r="A1" s="417" t="s">
        <v>247</v>
      </c>
      <c r="B1" s="418"/>
      <c r="C1" s="417" t="s">
        <v>248</v>
      </c>
      <c r="D1" s="418"/>
    </row>
    <row r="2" spans="1:6" ht="24" customHeight="1" x14ac:dyDescent="0.5">
      <c r="A2" s="215" t="s">
        <v>249</v>
      </c>
      <c r="B2" s="216" t="s">
        <v>250</v>
      </c>
      <c r="C2" s="215" t="s">
        <v>249</v>
      </c>
      <c r="D2" s="216" t="s">
        <v>250</v>
      </c>
    </row>
    <row r="3" spans="1:6" x14ac:dyDescent="0.5">
      <c r="A3" s="217">
        <v>2010</v>
      </c>
      <c r="B3" s="218">
        <v>0.754</v>
      </c>
      <c r="C3" s="217">
        <v>2010</v>
      </c>
      <c r="D3" s="219">
        <f>1/B3</f>
        <v>1.3262599469496021</v>
      </c>
    </row>
    <row r="4" spans="1:6" x14ac:dyDescent="0.5">
      <c r="A4" s="217">
        <v>2011</v>
      </c>
      <c r="B4" s="218">
        <v>0.71799999999999997</v>
      </c>
      <c r="C4" s="217">
        <v>2011</v>
      </c>
      <c r="D4" s="219">
        <f t="shared" ref="D4:D18" si="0">1/B4</f>
        <v>1.392757660167131</v>
      </c>
    </row>
    <row r="5" spans="1:6" x14ac:dyDescent="0.5">
      <c r="A5" s="217">
        <v>2012</v>
      </c>
      <c r="B5" s="218">
        <v>0.77800000000000002</v>
      </c>
      <c r="C5" s="217">
        <v>2012</v>
      </c>
      <c r="D5" s="219">
        <f t="shared" si="0"/>
        <v>1.2853470437017995</v>
      </c>
    </row>
    <row r="6" spans="1:6" x14ac:dyDescent="0.5">
      <c r="A6" s="217">
        <v>2013</v>
      </c>
      <c r="B6" s="218">
        <v>0.753</v>
      </c>
      <c r="C6" s="217">
        <v>2013</v>
      </c>
      <c r="D6" s="219">
        <f t="shared" si="0"/>
        <v>1.3280212483399734</v>
      </c>
    </row>
    <row r="7" spans="1:6" x14ac:dyDescent="0.5">
      <c r="A7" s="217">
        <v>2014</v>
      </c>
      <c r="B7" s="218">
        <v>0.753</v>
      </c>
      <c r="C7" s="217">
        <v>2014</v>
      </c>
      <c r="D7" s="219">
        <f t="shared" si="0"/>
        <v>1.3280212483399734</v>
      </c>
      <c r="F7" s="214"/>
    </row>
    <row r="8" spans="1:6" x14ac:dyDescent="0.5">
      <c r="A8" s="217">
        <v>2015</v>
      </c>
      <c r="B8" s="218">
        <v>0.90100000000000002</v>
      </c>
      <c r="C8" s="217">
        <v>2015</v>
      </c>
      <c r="D8" s="219">
        <f t="shared" si="0"/>
        <v>1.1098779134295227</v>
      </c>
    </row>
    <row r="9" spans="1:6" x14ac:dyDescent="0.5">
      <c r="A9" s="217">
        <v>2016</v>
      </c>
      <c r="B9" s="218">
        <v>0.90300000000000002</v>
      </c>
      <c r="C9" s="217">
        <v>2016</v>
      </c>
      <c r="D9" s="219">
        <f t="shared" si="0"/>
        <v>1.1074197120708749</v>
      </c>
    </row>
    <row r="10" spans="1:6" x14ac:dyDescent="0.5">
      <c r="A10" s="217">
        <v>2017</v>
      </c>
      <c r="B10" s="218">
        <v>0.88500000000000001</v>
      </c>
      <c r="C10" s="217">
        <v>2017</v>
      </c>
      <c r="D10" s="219">
        <f t="shared" si="0"/>
        <v>1.1299435028248588</v>
      </c>
    </row>
    <row r="11" spans="1:6" x14ac:dyDescent="0.5">
      <c r="A11" s="217">
        <v>2018</v>
      </c>
      <c r="B11" s="218">
        <v>0.84699999999999998</v>
      </c>
      <c r="C11" s="217">
        <v>2018</v>
      </c>
      <c r="D11" s="219">
        <f t="shared" si="0"/>
        <v>1.1806375442739079</v>
      </c>
    </row>
    <row r="12" spans="1:6" x14ac:dyDescent="0.5">
      <c r="A12" s="217">
        <v>2019</v>
      </c>
      <c r="B12" s="218">
        <v>0.89300000000000002</v>
      </c>
      <c r="C12" s="217">
        <v>2019</v>
      </c>
      <c r="D12" s="219">
        <f t="shared" si="0"/>
        <v>1.1198208286674132</v>
      </c>
    </row>
    <row r="13" spans="1:6" x14ac:dyDescent="0.5">
      <c r="A13" s="217">
        <v>2020</v>
      </c>
      <c r="B13" s="218">
        <v>0.876</v>
      </c>
      <c r="C13" s="217">
        <v>2020</v>
      </c>
      <c r="D13" s="219">
        <f t="shared" si="0"/>
        <v>1.1415525114155252</v>
      </c>
    </row>
    <row r="14" spans="1:6" x14ac:dyDescent="0.5">
      <c r="A14" s="217">
        <v>2021</v>
      </c>
      <c r="B14" s="218">
        <v>0.84599999999999997</v>
      </c>
      <c r="C14" s="217">
        <v>2021</v>
      </c>
      <c r="D14" s="219">
        <f t="shared" si="0"/>
        <v>1.1820330969267139</v>
      </c>
    </row>
    <row r="15" spans="1:6" x14ac:dyDescent="0.5">
      <c r="A15" s="217">
        <v>2022</v>
      </c>
      <c r="B15" s="218">
        <v>0.95</v>
      </c>
      <c r="C15" s="217">
        <v>2022</v>
      </c>
      <c r="D15" s="219">
        <f t="shared" si="0"/>
        <v>1.0526315789473684</v>
      </c>
    </row>
    <row r="16" spans="1:6" x14ac:dyDescent="0.5">
      <c r="A16" s="217">
        <v>2023</v>
      </c>
      <c r="B16" s="218">
        <v>0.92500000000000004</v>
      </c>
      <c r="C16" s="217">
        <v>2023</v>
      </c>
      <c r="D16" s="219">
        <f t="shared" si="0"/>
        <v>1.0810810810810809</v>
      </c>
    </row>
    <row r="17" spans="1:4" x14ac:dyDescent="0.5">
      <c r="A17" s="217">
        <v>2024</v>
      </c>
      <c r="B17" s="218">
        <v>0.92400000000000004</v>
      </c>
      <c r="C17" s="217">
        <v>2024</v>
      </c>
      <c r="D17" s="219">
        <f t="shared" si="0"/>
        <v>1.0822510822510822</v>
      </c>
    </row>
    <row r="18" spans="1:4" ht="14.7" thickBot="1" x14ac:dyDescent="0.55000000000000004">
      <c r="A18" s="220" t="s">
        <v>251</v>
      </c>
      <c r="B18" s="221">
        <v>0.92400000000000004</v>
      </c>
      <c r="C18" s="220" t="s">
        <v>251</v>
      </c>
      <c r="D18" s="222">
        <f t="shared" si="0"/>
        <v>1.0822510822510822</v>
      </c>
    </row>
    <row r="20" spans="1:4" x14ac:dyDescent="0.5">
      <c r="A20" t="s">
        <v>252</v>
      </c>
    </row>
    <row r="21" spans="1:4" x14ac:dyDescent="0.5">
      <c r="A21" t="s">
        <v>253</v>
      </c>
    </row>
  </sheetData>
  <mergeCells count="2">
    <mergeCell ref="A1:B1"/>
    <mergeCell ref="C1:D1"/>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7"/>
  <dimension ref="C3:Z80"/>
  <sheetViews>
    <sheetView topLeftCell="A4" workbookViewId="0">
      <selection activeCell="Q16" sqref="Q16"/>
    </sheetView>
  </sheetViews>
  <sheetFormatPr defaultColWidth="11.46875" defaultRowHeight="14.35" x14ac:dyDescent="0.5"/>
  <cols>
    <col min="3" max="3" width="27.17578125" customWidth="1"/>
    <col min="4" max="12" width="12.64453125" customWidth="1"/>
    <col min="13" max="13" width="20.64453125" customWidth="1"/>
    <col min="16" max="16" width="20.52734375" customWidth="1"/>
    <col min="17" max="17" width="11.52734375" bestFit="1" customWidth="1"/>
    <col min="19" max="19" width="21.64453125" bestFit="1" customWidth="1"/>
    <col min="22" max="22" width="10.64453125" bestFit="1" customWidth="1"/>
    <col min="23" max="23" width="11.29296875" bestFit="1" customWidth="1"/>
    <col min="24" max="26" width="14.64453125" bestFit="1" customWidth="1"/>
  </cols>
  <sheetData>
    <row r="3" spans="3:26" ht="15.7" x14ac:dyDescent="0.55000000000000004">
      <c r="C3" s="13"/>
      <c r="D3" s="421" t="s">
        <v>254</v>
      </c>
      <c r="E3" s="421"/>
      <c r="F3" s="421"/>
      <c r="G3" s="421"/>
      <c r="H3" s="421"/>
      <c r="I3" s="421"/>
      <c r="J3" s="421"/>
      <c r="K3" s="421"/>
      <c r="L3" s="421"/>
      <c r="M3" s="14"/>
    </row>
    <row r="4" spans="3:26" ht="16" thickBot="1" x14ac:dyDescent="0.6">
      <c r="C4" s="13"/>
      <c r="D4" s="419" t="s">
        <v>50</v>
      </c>
      <c r="E4" s="419"/>
      <c r="F4" s="419"/>
      <c r="G4" s="419" t="s">
        <v>151</v>
      </c>
      <c r="H4" s="419"/>
      <c r="I4" s="419"/>
      <c r="J4" s="419" t="s">
        <v>237</v>
      </c>
      <c r="K4" s="419"/>
      <c r="L4" s="419"/>
      <c r="M4" s="28"/>
      <c r="V4" s="15"/>
    </row>
    <row r="5" spans="3:26" x14ac:dyDescent="0.5">
      <c r="C5" s="4"/>
      <c r="D5" s="16" t="s">
        <v>56</v>
      </c>
      <c r="E5" s="4" t="s">
        <v>57</v>
      </c>
      <c r="F5" s="17" t="s">
        <v>58</v>
      </c>
      <c r="G5" s="4" t="s">
        <v>56</v>
      </c>
      <c r="H5" s="4" t="s">
        <v>57</v>
      </c>
      <c r="I5" s="4" t="s">
        <v>58</v>
      </c>
      <c r="J5" s="16" t="s">
        <v>56</v>
      </c>
      <c r="K5" s="4" t="s">
        <v>57</v>
      </c>
      <c r="L5" s="17" t="s">
        <v>58</v>
      </c>
      <c r="M5" s="4" t="s">
        <v>59</v>
      </c>
      <c r="V5" s="3"/>
      <c r="W5" s="3"/>
      <c r="X5" s="3"/>
      <c r="Y5" s="3"/>
      <c r="Z5" s="3"/>
    </row>
    <row r="6" spans="3:26" x14ac:dyDescent="0.5">
      <c r="C6" s="28" t="s">
        <v>255</v>
      </c>
      <c r="D6" s="148">
        <v>2</v>
      </c>
      <c r="E6" s="149">
        <v>0.2</v>
      </c>
      <c r="F6" s="150">
        <v>1</v>
      </c>
      <c r="G6" s="149">
        <v>6</v>
      </c>
      <c r="H6" s="158">
        <v>2</v>
      </c>
      <c r="I6" s="150">
        <v>3</v>
      </c>
      <c r="J6" s="149">
        <v>200</v>
      </c>
      <c r="K6" s="149">
        <v>20</v>
      </c>
      <c r="L6" s="150">
        <v>80</v>
      </c>
      <c r="M6" s="21" t="s">
        <v>256</v>
      </c>
    </row>
    <row r="7" spans="3:26" x14ac:dyDescent="0.5">
      <c r="C7" s="28" t="s">
        <v>257</v>
      </c>
      <c r="D7" s="151">
        <v>0.2</v>
      </c>
      <c r="E7" s="152">
        <v>0.1</v>
      </c>
      <c r="F7" s="153">
        <v>0.15</v>
      </c>
      <c r="G7" s="159">
        <v>0.6</v>
      </c>
      <c r="H7" s="159">
        <v>0.2</v>
      </c>
      <c r="I7" s="160">
        <v>0.4</v>
      </c>
      <c r="J7" s="159">
        <v>10000</v>
      </c>
      <c r="K7" s="159">
        <v>5000</v>
      </c>
      <c r="L7" s="162">
        <v>7500</v>
      </c>
      <c r="M7" s="22" t="s">
        <v>258</v>
      </c>
    </row>
    <row r="8" spans="3:26" x14ac:dyDescent="0.5">
      <c r="C8" s="28" t="s">
        <v>259</v>
      </c>
      <c r="D8" s="148">
        <v>100000</v>
      </c>
      <c r="E8" s="149">
        <v>12000</v>
      </c>
      <c r="F8" s="150">
        <v>50000</v>
      </c>
      <c r="G8" s="149">
        <v>100000</v>
      </c>
      <c r="H8" s="149">
        <v>10000</v>
      </c>
      <c r="I8" s="150">
        <v>50000</v>
      </c>
      <c r="J8" s="149">
        <v>1000000</v>
      </c>
      <c r="K8" s="149">
        <v>100000</v>
      </c>
      <c r="L8" s="150">
        <v>200000</v>
      </c>
      <c r="M8" s="21" t="s">
        <v>105</v>
      </c>
    </row>
    <row r="9" spans="3:26" x14ac:dyDescent="0.5">
      <c r="C9" s="28" t="s">
        <v>260</v>
      </c>
      <c r="D9" s="151">
        <v>100</v>
      </c>
      <c r="E9" s="152">
        <v>30</v>
      </c>
      <c r="F9" s="153">
        <v>60</v>
      </c>
      <c r="G9" s="159">
        <v>100</v>
      </c>
      <c r="H9" s="159">
        <v>20</v>
      </c>
      <c r="I9" s="160">
        <v>50</v>
      </c>
      <c r="J9" s="159">
        <v>25</v>
      </c>
      <c r="K9" s="159">
        <v>15</v>
      </c>
      <c r="L9" s="162">
        <v>20</v>
      </c>
      <c r="M9" s="22" t="s">
        <v>64</v>
      </c>
    </row>
    <row r="10" spans="3:26" x14ac:dyDescent="0.5">
      <c r="C10" s="28" t="s">
        <v>81</v>
      </c>
      <c r="D10" s="148">
        <v>100</v>
      </c>
      <c r="E10" s="149">
        <v>80</v>
      </c>
      <c r="F10" s="150">
        <v>90</v>
      </c>
      <c r="G10" s="149">
        <v>50</v>
      </c>
      <c r="H10" s="149">
        <v>35</v>
      </c>
      <c r="I10" s="150">
        <v>40</v>
      </c>
      <c r="J10" s="149">
        <v>90</v>
      </c>
      <c r="K10" s="149">
        <v>75</v>
      </c>
      <c r="L10" s="150">
        <v>85</v>
      </c>
      <c r="M10" s="21" t="s">
        <v>66</v>
      </c>
    </row>
    <row r="11" spans="3:26" x14ac:dyDescent="0.5">
      <c r="C11" s="28" t="s">
        <v>65</v>
      </c>
      <c r="D11" s="151">
        <v>92</v>
      </c>
      <c r="E11" s="152">
        <v>70</v>
      </c>
      <c r="F11" s="153">
        <v>80</v>
      </c>
      <c r="G11" s="159">
        <v>80</v>
      </c>
      <c r="H11" s="159">
        <v>40</v>
      </c>
      <c r="I11" s="160">
        <v>60</v>
      </c>
      <c r="J11" s="159">
        <v>99</v>
      </c>
      <c r="K11" s="159">
        <v>70</v>
      </c>
      <c r="L11" s="162">
        <v>84</v>
      </c>
      <c r="M11" s="22" t="s">
        <v>66</v>
      </c>
    </row>
    <row r="12" spans="3:26" x14ac:dyDescent="0.5">
      <c r="C12" s="28" t="s">
        <v>137</v>
      </c>
      <c r="D12" s="148">
        <v>0</v>
      </c>
      <c r="E12" s="149">
        <v>0.02</v>
      </c>
      <c r="F12" s="150">
        <v>0.01</v>
      </c>
      <c r="G12" s="149">
        <v>0</v>
      </c>
      <c r="H12" s="149">
        <v>1</v>
      </c>
      <c r="I12" s="150">
        <v>0.5</v>
      </c>
      <c r="J12" s="149">
        <v>20</v>
      </c>
      <c r="K12" s="149">
        <v>100</v>
      </c>
      <c r="L12" s="150">
        <v>60</v>
      </c>
      <c r="M12" s="21" t="s">
        <v>261</v>
      </c>
    </row>
    <row r="13" spans="3:26" x14ac:dyDescent="0.5">
      <c r="C13" s="28" t="s">
        <v>262</v>
      </c>
      <c r="D13" s="151">
        <v>15</v>
      </c>
      <c r="E13" s="152">
        <v>500</v>
      </c>
      <c r="F13" s="153">
        <v>30</v>
      </c>
      <c r="G13" s="159" t="s">
        <v>263</v>
      </c>
      <c r="H13" s="159">
        <v>900</v>
      </c>
      <c r="I13" s="160">
        <v>480</v>
      </c>
      <c r="J13" s="159" t="s">
        <v>264</v>
      </c>
      <c r="K13" s="159" t="s">
        <v>263</v>
      </c>
      <c r="L13" s="162">
        <v>0.05</v>
      </c>
      <c r="M13" s="88" t="s">
        <v>265</v>
      </c>
    </row>
    <row r="14" spans="3:26" x14ac:dyDescent="0.5">
      <c r="C14" s="156" t="s">
        <v>266</v>
      </c>
      <c r="D14" s="154">
        <v>5</v>
      </c>
      <c r="E14" s="149">
        <v>25</v>
      </c>
      <c r="F14" s="150">
        <v>15</v>
      </c>
      <c r="G14" s="149">
        <v>0</v>
      </c>
      <c r="H14" s="149">
        <v>0</v>
      </c>
      <c r="I14" s="150">
        <v>0</v>
      </c>
      <c r="J14" s="149">
        <v>0</v>
      </c>
      <c r="K14" s="149">
        <v>0</v>
      </c>
      <c r="L14" s="150">
        <v>0</v>
      </c>
      <c r="M14" s="21" t="s">
        <v>64</v>
      </c>
    </row>
    <row r="15" spans="3:26" x14ac:dyDescent="0.5">
      <c r="C15" s="28" t="s">
        <v>267</v>
      </c>
      <c r="D15" s="151">
        <v>5.25</v>
      </c>
      <c r="E15" s="152">
        <v>100</v>
      </c>
      <c r="F15" s="152">
        <v>21</v>
      </c>
      <c r="G15" s="151">
        <v>2</v>
      </c>
      <c r="H15" s="152">
        <v>84</v>
      </c>
      <c r="I15" s="153">
        <v>52.5</v>
      </c>
      <c r="J15" s="151">
        <v>1500</v>
      </c>
      <c r="K15" s="152">
        <v>6000</v>
      </c>
      <c r="L15" s="153">
        <v>3000</v>
      </c>
      <c r="M15" s="88" t="s">
        <v>268</v>
      </c>
    </row>
    <row r="16" spans="3:26" ht="14.7" thickBot="1" x14ac:dyDescent="0.55000000000000004">
      <c r="C16" s="157" t="s">
        <v>269</v>
      </c>
      <c r="D16" s="155">
        <v>525</v>
      </c>
      <c r="E16" s="155">
        <v>2000</v>
      </c>
      <c r="F16" s="155">
        <v>840</v>
      </c>
      <c r="G16" s="161">
        <v>400</v>
      </c>
      <c r="H16" s="155">
        <v>1050</v>
      </c>
      <c r="I16" s="155">
        <v>735</v>
      </c>
      <c r="J16" s="161">
        <v>315</v>
      </c>
      <c r="K16" s="155">
        <v>1050</v>
      </c>
      <c r="L16" s="155">
        <v>300</v>
      </c>
      <c r="M16" s="27" t="s">
        <v>61</v>
      </c>
    </row>
    <row r="19" spans="3:13" ht="15.7" x14ac:dyDescent="0.55000000000000004">
      <c r="C19" s="13"/>
      <c r="D19" s="421" t="s">
        <v>270</v>
      </c>
      <c r="E19" s="421"/>
      <c r="F19" s="421"/>
      <c r="G19" s="421"/>
      <c r="H19" s="421"/>
      <c r="I19" s="421"/>
      <c r="J19" s="421" t="s">
        <v>271</v>
      </c>
      <c r="K19" s="421"/>
      <c r="L19" s="421"/>
      <c r="M19" s="14"/>
    </row>
    <row r="20" spans="3:13" ht="14.7" thickBot="1" x14ac:dyDescent="0.55000000000000004">
      <c r="C20" s="13"/>
      <c r="D20" s="424" t="s">
        <v>238</v>
      </c>
      <c r="E20" s="424"/>
      <c r="F20" s="424"/>
      <c r="G20" s="419" t="s">
        <v>239</v>
      </c>
      <c r="H20" s="419"/>
      <c r="I20" s="419"/>
      <c r="J20" s="419" t="s">
        <v>272</v>
      </c>
      <c r="K20" s="419"/>
      <c r="L20" s="419"/>
      <c r="M20" s="28"/>
    </row>
    <row r="21" spans="3:13" x14ac:dyDescent="0.5">
      <c r="C21" s="4"/>
      <c r="D21" s="16" t="s">
        <v>56</v>
      </c>
      <c r="E21" s="4" t="s">
        <v>57</v>
      </c>
      <c r="F21" s="17" t="s">
        <v>273</v>
      </c>
      <c r="G21" s="4" t="s">
        <v>56</v>
      </c>
      <c r="H21" s="4" t="s">
        <v>57</v>
      </c>
      <c r="I21" s="17" t="s">
        <v>273</v>
      </c>
      <c r="J21" s="4" t="s">
        <v>56</v>
      </c>
      <c r="K21" s="4" t="s">
        <v>57</v>
      </c>
      <c r="L21" s="17" t="s">
        <v>273</v>
      </c>
      <c r="M21" s="16" t="s">
        <v>59</v>
      </c>
    </row>
    <row r="22" spans="3:13" x14ac:dyDescent="0.5">
      <c r="C22" s="28" t="s">
        <v>255</v>
      </c>
      <c r="D22" s="148">
        <v>100</v>
      </c>
      <c r="E22" s="149">
        <v>50</v>
      </c>
      <c r="F22" s="150">
        <v>80</v>
      </c>
      <c r="G22" s="149">
        <v>100</v>
      </c>
      <c r="H22" s="158">
        <v>50</v>
      </c>
      <c r="I22" s="150">
        <v>80</v>
      </c>
      <c r="J22" s="149">
        <v>735</v>
      </c>
      <c r="K22" s="149">
        <v>200</v>
      </c>
      <c r="L22" s="150">
        <v>468</v>
      </c>
      <c r="M22" s="21" t="s">
        <v>256</v>
      </c>
    </row>
    <row r="23" spans="3:13" x14ac:dyDescent="0.5">
      <c r="C23" s="28" t="s">
        <v>257</v>
      </c>
      <c r="D23" s="151">
        <v>700</v>
      </c>
      <c r="E23" s="152">
        <v>10</v>
      </c>
      <c r="F23" s="153">
        <v>350</v>
      </c>
      <c r="G23" s="159">
        <v>700</v>
      </c>
      <c r="H23" s="159">
        <v>10</v>
      </c>
      <c r="I23" s="160">
        <v>350</v>
      </c>
      <c r="J23" s="159">
        <v>10000</v>
      </c>
      <c r="K23" s="159">
        <v>100</v>
      </c>
      <c r="L23" s="162">
        <v>3500</v>
      </c>
      <c r="M23" s="22" t="s">
        <v>258</v>
      </c>
    </row>
    <row r="24" spans="3:13" x14ac:dyDescent="0.5">
      <c r="C24" s="28" t="s">
        <v>259</v>
      </c>
      <c r="D24" s="148">
        <v>2500</v>
      </c>
      <c r="E24" s="149">
        <v>250</v>
      </c>
      <c r="F24" s="150">
        <v>1500</v>
      </c>
      <c r="G24" s="149">
        <v>2500</v>
      </c>
      <c r="H24" s="149">
        <v>250</v>
      </c>
      <c r="I24" s="150">
        <v>1500</v>
      </c>
      <c r="J24" s="149">
        <v>4000</v>
      </c>
      <c r="K24" s="149">
        <v>500</v>
      </c>
      <c r="L24" s="150">
        <v>2000</v>
      </c>
      <c r="M24" s="21" t="s">
        <v>105</v>
      </c>
    </row>
    <row r="25" spans="3:13" x14ac:dyDescent="0.5">
      <c r="C25" s="28" t="s">
        <v>260</v>
      </c>
      <c r="D25" s="151">
        <v>15</v>
      </c>
      <c r="E25" s="152">
        <v>3</v>
      </c>
      <c r="F25" s="153">
        <v>9</v>
      </c>
      <c r="G25" s="159">
        <v>15</v>
      </c>
      <c r="H25" s="159">
        <v>3</v>
      </c>
      <c r="I25" s="160">
        <v>9</v>
      </c>
      <c r="J25" s="159">
        <v>20</v>
      </c>
      <c r="K25" s="159">
        <v>5</v>
      </c>
      <c r="L25" s="162">
        <v>12</v>
      </c>
      <c r="M25" s="22" t="s">
        <v>64</v>
      </c>
    </row>
    <row r="26" spans="3:13" x14ac:dyDescent="0.5">
      <c r="C26" s="28" t="s">
        <v>81</v>
      </c>
      <c r="D26" s="148">
        <v>50</v>
      </c>
      <c r="E26" s="149">
        <v>60</v>
      </c>
      <c r="F26" s="150">
        <v>50</v>
      </c>
      <c r="G26" s="149">
        <v>50</v>
      </c>
      <c r="H26" s="149">
        <v>60</v>
      </c>
      <c r="I26" s="150">
        <v>50</v>
      </c>
      <c r="J26" s="149">
        <v>100</v>
      </c>
      <c r="K26" s="149">
        <v>84</v>
      </c>
      <c r="L26" s="150">
        <v>90</v>
      </c>
      <c r="M26" s="21" t="s">
        <v>66</v>
      </c>
    </row>
    <row r="27" spans="3:13" x14ac:dyDescent="0.5">
      <c r="C27" s="28" t="s">
        <v>65</v>
      </c>
      <c r="D27" s="151">
        <v>92</v>
      </c>
      <c r="E27" s="152">
        <v>75</v>
      </c>
      <c r="F27" s="153">
        <v>82</v>
      </c>
      <c r="G27" s="159">
        <v>92</v>
      </c>
      <c r="H27" s="159">
        <v>75</v>
      </c>
      <c r="I27" s="160">
        <v>82</v>
      </c>
      <c r="J27" s="159">
        <v>98</v>
      </c>
      <c r="K27" s="159">
        <v>81</v>
      </c>
      <c r="L27" s="162">
        <v>92</v>
      </c>
      <c r="M27" s="22" t="s">
        <v>66</v>
      </c>
    </row>
    <row r="28" spans="3:13" x14ac:dyDescent="0.5">
      <c r="C28" s="28" t="s">
        <v>137</v>
      </c>
      <c r="D28" s="148">
        <v>0.09</v>
      </c>
      <c r="E28" s="149">
        <v>0.4</v>
      </c>
      <c r="F28" s="150">
        <v>0.25</v>
      </c>
      <c r="G28" s="149">
        <v>0.09</v>
      </c>
      <c r="H28" s="149">
        <v>0.4</v>
      </c>
      <c r="I28" s="150">
        <v>0.25</v>
      </c>
      <c r="J28" s="149">
        <v>0.09</v>
      </c>
      <c r="K28" s="149">
        <v>0.36</v>
      </c>
      <c r="L28" s="150">
        <v>0.1</v>
      </c>
      <c r="M28" s="21" t="s">
        <v>261</v>
      </c>
    </row>
    <row r="29" spans="3:13" x14ac:dyDescent="0.5">
      <c r="C29" s="28" t="s">
        <v>262</v>
      </c>
      <c r="D29" s="151">
        <v>3.0000000000000001E-3</v>
      </c>
      <c r="E29" s="152">
        <v>0.01</v>
      </c>
      <c r="F29" s="153">
        <v>6.0000000000000001E-3</v>
      </c>
      <c r="G29" s="159">
        <v>3.0000000000000001E-3</v>
      </c>
      <c r="H29" s="159">
        <v>0.01</v>
      </c>
      <c r="I29" s="160">
        <v>6.0000000000000001E-3</v>
      </c>
      <c r="J29" s="159">
        <v>3.0000000000000001E-3</v>
      </c>
      <c r="K29" s="159">
        <v>1</v>
      </c>
      <c r="L29" s="162">
        <v>0.01</v>
      </c>
      <c r="M29" s="88" t="s">
        <v>265</v>
      </c>
    </row>
    <row r="30" spans="3:13" x14ac:dyDescent="0.5">
      <c r="C30" s="156" t="s">
        <v>266</v>
      </c>
      <c r="D30" s="154">
        <v>0</v>
      </c>
      <c r="E30" s="149">
        <v>0</v>
      </c>
      <c r="F30" s="150">
        <v>0</v>
      </c>
      <c r="G30" s="149">
        <v>0</v>
      </c>
      <c r="H30" s="149">
        <v>0</v>
      </c>
      <c r="I30" s="150">
        <v>0</v>
      </c>
      <c r="J30" s="149">
        <v>0</v>
      </c>
      <c r="K30" s="149">
        <v>0</v>
      </c>
      <c r="L30" s="150">
        <v>0</v>
      </c>
      <c r="M30" s="21" t="s">
        <v>64</v>
      </c>
    </row>
    <row r="31" spans="3:13" x14ac:dyDescent="0.5">
      <c r="C31" s="28" t="s">
        <v>267</v>
      </c>
      <c r="D31" s="151">
        <v>105</v>
      </c>
      <c r="E31" s="152">
        <v>472.5</v>
      </c>
      <c r="F31" s="152">
        <v>194.25</v>
      </c>
      <c r="G31" s="151">
        <v>105</v>
      </c>
      <c r="H31" s="152">
        <v>472.5</v>
      </c>
      <c r="I31" s="153">
        <v>210</v>
      </c>
      <c r="J31" s="151">
        <v>199.5</v>
      </c>
      <c r="K31" s="152">
        <v>840</v>
      </c>
      <c r="L31" s="153">
        <v>420</v>
      </c>
      <c r="M31" s="88" t="s">
        <v>268</v>
      </c>
    </row>
    <row r="32" spans="3:13" ht="14.7" thickBot="1" x14ac:dyDescent="0.55000000000000004">
      <c r="C32" s="157" t="s">
        <v>269</v>
      </c>
      <c r="D32" s="155">
        <v>0</v>
      </c>
      <c r="E32" s="155">
        <v>0</v>
      </c>
      <c r="F32" s="155">
        <v>0</v>
      </c>
      <c r="G32" s="161">
        <v>0</v>
      </c>
      <c r="H32" s="155">
        <v>0</v>
      </c>
      <c r="I32" s="155">
        <v>0</v>
      </c>
      <c r="J32" s="161">
        <v>0</v>
      </c>
      <c r="K32" s="155">
        <v>0</v>
      </c>
      <c r="L32" s="155">
        <v>0</v>
      </c>
      <c r="M32" s="27" t="s">
        <v>61</v>
      </c>
    </row>
    <row r="35" spans="3:26" ht="15.7" x14ac:dyDescent="0.55000000000000004">
      <c r="C35" s="13"/>
      <c r="D35" s="421" t="s">
        <v>271</v>
      </c>
      <c r="E35" s="421"/>
      <c r="F35" s="421"/>
      <c r="G35" s="421"/>
      <c r="H35" s="421"/>
      <c r="I35" s="421"/>
      <c r="J35" s="421"/>
      <c r="K35" s="421"/>
      <c r="L35" s="421"/>
      <c r="M35" s="14"/>
    </row>
    <row r="36" spans="3:26" ht="16" thickBot="1" x14ac:dyDescent="0.6">
      <c r="C36" s="13"/>
      <c r="D36" s="424" t="s">
        <v>274</v>
      </c>
      <c r="E36" s="424"/>
      <c r="F36" s="424"/>
      <c r="G36" s="419" t="s">
        <v>275</v>
      </c>
      <c r="H36" s="419"/>
      <c r="I36" s="419"/>
      <c r="J36" s="419" t="s">
        <v>276</v>
      </c>
      <c r="K36" s="419"/>
      <c r="L36" s="419"/>
      <c r="M36" s="28"/>
      <c r="V36" s="422"/>
      <c r="W36" s="422"/>
      <c r="X36" s="423"/>
      <c r="Y36" s="423"/>
    </row>
    <row r="37" spans="3:26" x14ac:dyDescent="0.5">
      <c r="C37" s="4"/>
      <c r="D37" s="16" t="s">
        <v>56</v>
      </c>
      <c r="E37" s="4" t="s">
        <v>57</v>
      </c>
      <c r="F37" s="17" t="s">
        <v>58</v>
      </c>
      <c r="G37" s="4" t="s">
        <v>56</v>
      </c>
      <c r="H37" s="4" t="s">
        <v>57</v>
      </c>
      <c r="I37" s="17" t="s">
        <v>58</v>
      </c>
      <c r="J37" s="4" t="s">
        <v>56</v>
      </c>
      <c r="K37" s="4" t="s">
        <v>57</v>
      </c>
      <c r="L37" s="17" t="s">
        <v>58</v>
      </c>
      <c r="M37" s="16" t="s">
        <v>59</v>
      </c>
    </row>
    <row r="38" spans="3:26" x14ac:dyDescent="0.5">
      <c r="C38" s="28" t="s">
        <v>255</v>
      </c>
      <c r="D38" s="148">
        <v>620</v>
      </c>
      <c r="E38" s="149">
        <v>200</v>
      </c>
      <c r="F38" s="150">
        <v>350</v>
      </c>
      <c r="G38" s="149">
        <v>620</v>
      </c>
      <c r="H38" s="158">
        <v>200</v>
      </c>
      <c r="I38" s="150">
        <v>350</v>
      </c>
      <c r="J38" s="149">
        <v>620</v>
      </c>
      <c r="K38" s="149">
        <v>200</v>
      </c>
      <c r="L38" s="150">
        <v>350</v>
      </c>
      <c r="M38" s="21" t="s">
        <v>256</v>
      </c>
    </row>
    <row r="39" spans="3:26" x14ac:dyDescent="0.5">
      <c r="C39" s="28" t="s">
        <v>257</v>
      </c>
      <c r="D39" s="151">
        <v>10000</v>
      </c>
      <c r="E39" s="152">
        <v>100</v>
      </c>
      <c r="F39" s="153">
        <v>3500</v>
      </c>
      <c r="G39" s="159">
        <v>10000</v>
      </c>
      <c r="H39" s="159">
        <v>100</v>
      </c>
      <c r="I39" s="160">
        <v>3500</v>
      </c>
      <c r="J39" s="159">
        <v>10000</v>
      </c>
      <c r="K39" s="159">
        <v>100</v>
      </c>
      <c r="L39" s="162">
        <v>3500</v>
      </c>
      <c r="M39" s="22" t="s">
        <v>258</v>
      </c>
    </row>
    <row r="40" spans="3:26" x14ac:dyDescent="0.5">
      <c r="C40" s="28" t="s">
        <v>259</v>
      </c>
      <c r="D40" s="148">
        <v>2000</v>
      </c>
      <c r="E40" s="149">
        <v>500</v>
      </c>
      <c r="F40" s="150">
        <v>1000</v>
      </c>
      <c r="G40" s="149">
        <v>10000</v>
      </c>
      <c r="H40" s="149">
        <v>1000</v>
      </c>
      <c r="I40" s="150">
        <v>2500</v>
      </c>
      <c r="J40" s="149">
        <v>20000</v>
      </c>
      <c r="K40" s="149">
        <v>5000</v>
      </c>
      <c r="L40" s="150">
        <v>10000</v>
      </c>
      <c r="M40" s="21" t="s">
        <v>105</v>
      </c>
    </row>
    <row r="41" spans="3:26" x14ac:dyDescent="0.5">
      <c r="C41" s="28" t="s">
        <v>260</v>
      </c>
      <c r="D41" s="151">
        <v>20</v>
      </c>
      <c r="E41" s="152">
        <v>5</v>
      </c>
      <c r="F41" s="153">
        <v>12</v>
      </c>
      <c r="G41" s="159">
        <v>20</v>
      </c>
      <c r="H41" s="159">
        <v>5</v>
      </c>
      <c r="I41" s="160">
        <v>12</v>
      </c>
      <c r="J41" s="159">
        <v>20</v>
      </c>
      <c r="K41" s="159">
        <v>10</v>
      </c>
      <c r="L41" s="162">
        <v>15</v>
      </c>
      <c r="M41" s="22" t="s">
        <v>64</v>
      </c>
    </row>
    <row r="42" spans="3:26" x14ac:dyDescent="0.5">
      <c r="C42" s="28" t="s">
        <v>81</v>
      </c>
      <c r="D42" s="148">
        <v>100</v>
      </c>
      <c r="E42" s="149">
        <v>84</v>
      </c>
      <c r="F42" s="150">
        <v>90</v>
      </c>
      <c r="G42" s="149">
        <v>100</v>
      </c>
      <c r="H42" s="149">
        <v>84</v>
      </c>
      <c r="I42" s="150">
        <v>90</v>
      </c>
      <c r="J42" s="149">
        <v>100</v>
      </c>
      <c r="K42" s="149">
        <v>84</v>
      </c>
      <c r="L42" s="150">
        <v>95</v>
      </c>
      <c r="M42" s="21" t="s">
        <v>66</v>
      </c>
    </row>
    <row r="43" spans="3:26" x14ac:dyDescent="0.5">
      <c r="C43" s="28" t="s">
        <v>65</v>
      </c>
      <c r="D43" s="151">
        <v>98</v>
      </c>
      <c r="E43" s="152">
        <v>80</v>
      </c>
      <c r="F43" s="153">
        <v>92</v>
      </c>
      <c r="G43" s="159">
        <v>90</v>
      </c>
      <c r="H43" s="159">
        <v>81</v>
      </c>
      <c r="I43" s="160">
        <v>86</v>
      </c>
      <c r="J43" s="159">
        <v>98</v>
      </c>
      <c r="K43" s="159">
        <v>80</v>
      </c>
      <c r="L43" s="162">
        <v>96</v>
      </c>
      <c r="M43" s="22" t="s">
        <v>66</v>
      </c>
    </row>
    <row r="44" spans="3:26" x14ac:dyDescent="0.5">
      <c r="C44" s="28" t="s">
        <v>137</v>
      </c>
      <c r="D44" s="148">
        <v>0.09</v>
      </c>
      <c r="E44" s="149">
        <v>0.36</v>
      </c>
      <c r="F44" s="150">
        <v>0.2</v>
      </c>
      <c r="G44" s="149">
        <v>0.09</v>
      </c>
      <c r="H44" s="149">
        <v>0.36</v>
      </c>
      <c r="I44" s="150">
        <v>0.1</v>
      </c>
      <c r="J44" s="149">
        <v>0.09</v>
      </c>
      <c r="K44" s="149">
        <v>0.36</v>
      </c>
      <c r="L44" s="150">
        <v>0.05</v>
      </c>
      <c r="M44" s="21" t="s">
        <v>261</v>
      </c>
    </row>
    <row r="45" spans="3:26" x14ac:dyDescent="0.5">
      <c r="C45" s="28" t="s">
        <v>262</v>
      </c>
      <c r="D45" s="151">
        <v>3.0000000000000001E-3</v>
      </c>
      <c r="E45" s="152">
        <v>1</v>
      </c>
      <c r="F45" s="153">
        <v>0.01</v>
      </c>
      <c r="G45" s="159">
        <v>3.0000000000000001E-3</v>
      </c>
      <c r="H45" s="159">
        <v>1</v>
      </c>
      <c r="I45" s="160">
        <v>0.01</v>
      </c>
      <c r="J45" s="159">
        <v>3.0000000000000001E-3</v>
      </c>
      <c r="K45" s="159">
        <v>1</v>
      </c>
      <c r="L45" s="162">
        <v>0.01</v>
      </c>
      <c r="M45" s="88" t="s">
        <v>265</v>
      </c>
    </row>
    <row r="46" spans="3:26" ht="15.7" x14ac:dyDescent="0.55000000000000004">
      <c r="C46" s="156" t="s">
        <v>266</v>
      </c>
      <c r="D46" s="154">
        <v>0</v>
      </c>
      <c r="E46" s="149">
        <v>0</v>
      </c>
      <c r="F46" s="150">
        <v>0</v>
      </c>
      <c r="G46" s="149">
        <v>0</v>
      </c>
      <c r="H46" s="149">
        <v>0</v>
      </c>
      <c r="I46" s="150">
        <v>0</v>
      </c>
      <c r="J46" s="149">
        <v>0</v>
      </c>
      <c r="K46" s="149">
        <v>0</v>
      </c>
      <c r="L46" s="150">
        <v>0</v>
      </c>
      <c r="M46" s="21" t="s">
        <v>64</v>
      </c>
      <c r="W46" s="423"/>
      <c r="X46" s="423"/>
      <c r="Y46" s="423"/>
      <c r="Z46" s="423"/>
    </row>
    <row r="47" spans="3:26" ht="15.7" x14ac:dyDescent="0.55000000000000004">
      <c r="C47" s="28" t="s">
        <v>267</v>
      </c>
      <c r="D47" s="151">
        <v>199.5</v>
      </c>
      <c r="E47" s="152">
        <v>840</v>
      </c>
      <c r="F47" s="152">
        <v>351.75</v>
      </c>
      <c r="G47" s="151">
        <v>199.5</v>
      </c>
      <c r="H47" s="152">
        <v>840</v>
      </c>
      <c r="I47" s="153">
        <v>577.5</v>
      </c>
      <c r="J47" s="151">
        <v>472.5</v>
      </c>
      <c r="K47" s="152">
        <v>1260</v>
      </c>
      <c r="L47" s="153">
        <v>1050</v>
      </c>
      <c r="M47" s="88" t="s">
        <v>268</v>
      </c>
      <c r="W47" s="423"/>
      <c r="X47" s="423"/>
      <c r="Y47" s="423"/>
      <c r="Z47" s="423"/>
    </row>
    <row r="48" spans="3:26" ht="14.7" thickBot="1" x14ac:dyDescent="0.55000000000000004">
      <c r="C48" s="157" t="s">
        <v>269</v>
      </c>
      <c r="D48" s="155">
        <v>0</v>
      </c>
      <c r="E48" s="155">
        <v>0</v>
      </c>
      <c r="F48" s="155">
        <v>0</v>
      </c>
      <c r="G48" s="161">
        <v>0</v>
      </c>
      <c r="H48" s="155">
        <v>0</v>
      </c>
      <c r="I48" s="155">
        <v>0</v>
      </c>
      <c r="J48" s="161">
        <v>0</v>
      </c>
      <c r="K48" s="155">
        <v>0</v>
      </c>
      <c r="L48" s="155">
        <v>0</v>
      </c>
      <c r="M48" s="27" t="s">
        <v>61</v>
      </c>
    </row>
    <row r="51" spans="3:13" ht="15.7" x14ac:dyDescent="0.55000000000000004">
      <c r="C51" s="13"/>
      <c r="D51" s="421" t="s">
        <v>277</v>
      </c>
      <c r="E51" s="421"/>
      <c r="F51" s="421"/>
      <c r="G51" s="421"/>
      <c r="H51" s="421"/>
      <c r="I51" s="421"/>
      <c r="J51" s="421" t="s">
        <v>278</v>
      </c>
      <c r="K51" s="421"/>
      <c r="L51" s="421"/>
      <c r="M51" s="14"/>
    </row>
    <row r="52" spans="3:13" ht="14.7" thickBot="1" x14ac:dyDescent="0.55000000000000004">
      <c r="C52" s="13"/>
      <c r="D52" s="419" t="s">
        <v>242</v>
      </c>
      <c r="E52" s="419"/>
      <c r="F52" s="419"/>
      <c r="G52" s="419" t="s">
        <v>243</v>
      </c>
      <c r="H52" s="419"/>
      <c r="I52" s="419"/>
      <c r="J52" s="419" t="s">
        <v>279</v>
      </c>
      <c r="K52" s="419"/>
      <c r="L52" s="419"/>
      <c r="M52" s="28"/>
    </row>
    <row r="53" spans="3:13" x14ac:dyDescent="0.5">
      <c r="C53" s="4"/>
      <c r="D53" s="16" t="s">
        <v>56</v>
      </c>
      <c r="E53" s="4" t="s">
        <v>57</v>
      </c>
      <c r="F53" s="17" t="s">
        <v>58</v>
      </c>
      <c r="G53" s="4" t="s">
        <v>56</v>
      </c>
      <c r="H53" s="4" t="s">
        <v>57</v>
      </c>
      <c r="I53" s="17" t="s">
        <v>58</v>
      </c>
      <c r="J53" s="4" t="s">
        <v>56</v>
      </c>
      <c r="K53" s="4" t="s">
        <v>57</v>
      </c>
      <c r="L53" s="17" t="s">
        <v>58</v>
      </c>
      <c r="M53" s="16" t="s">
        <v>59</v>
      </c>
    </row>
    <row r="54" spans="3:13" x14ac:dyDescent="0.5">
      <c r="C54" s="28" t="s">
        <v>255</v>
      </c>
      <c r="D54" s="148">
        <v>280</v>
      </c>
      <c r="E54" s="149">
        <v>150</v>
      </c>
      <c r="F54" s="150">
        <v>215</v>
      </c>
      <c r="G54" s="149">
        <v>300</v>
      </c>
      <c r="H54" s="158">
        <v>140</v>
      </c>
      <c r="I54" s="150">
        <v>250</v>
      </c>
      <c r="J54" s="149">
        <v>70</v>
      </c>
      <c r="K54" s="149">
        <v>15</v>
      </c>
      <c r="L54" s="150">
        <v>45</v>
      </c>
      <c r="M54" s="144" t="s">
        <v>256</v>
      </c>
    </row>
    <row r="55" spans="3:13" x14ac:dyDescent="0.5">
      <c r="C55" s="28" t="s">
        <v>257</v>
      </c>
      <c r="D55" s="151">
        <v>270</v>
      </c>
      <c r="E55" s="152">
        <v>150</v>
      </c>
      <c r="F55" s="153">
        <v>210</v>
      </c>
      <c r="G55" s="159">
        <v>160</v>
      </c>
      <c r="H55" s="159">
        <v>120</v>
      </c>
      <c r="I55" s="160">
        <v>140</v>
      </c>
      <c r="J55" s="159">
        <v>2</v>
      </c>
      <c r="K55" s="159">
        <v>0.5</v>
      </c>
      <c r="L55" s="162">
        <v>1.3</v>
      </c>
      <c r="M55" s="145" t="s">
        <v>258</v>
      </c>
    </row>
    <row r="56" spans="3:13" x14ac:dyDescent="0.5">
      <c r="C56" s="28" t="s">
        <v>259</v>
      </c>
      <c r="D56" s="148">
        <v>7500</v>
      </c>
      <c r="E56" s="149">
        <v>1000</v>
      </c>
      <c r="F56" s="150">
        <v>3000</v>
      </c>
      <c r="G56" s="149">
        <v>10000</v>
      </c>
      <c r="H56" s="149">
        <v>1000</v>
      </c>
      <c r="I56" s="150">
        <v>5000</v>
      </c>
      <c r="J56" s="149">
        <v>14000</v>
      </c>
      <c r="K56" s="149">
        <v>12000</v>
      </c>
      <c r="L56" s="150">
        <v>13000</v>
      </c>
      <c r="M56" s="146" t="s">
        <v>105</v>
      </c>
    </row>
    <row r="57" spans="3:13" x14ac:dyDescent="0.5">
      <c r="C57" s="28" t="s">
        <v>260</v>
      </c>
      <c r="D57" s="151">
        <v>22</v>
      </c>
      <c r="E57" s="152">
        <v>8</v>
      </c>
      <c r="F57" s="153">
        <v>15</v>
      </c>
      <c r="G57" s="159">
        <v>25</v>
      </c>
      <c r="H57" s="159">
        <v>10</v>
      </c>
      <c r="I57" s="160">
        <v>17</v>
      </c>
      <c r="J57" s="159">
        <v>20</v>
      </c>
      <c r="K57" s="159">
        <v>5</v>
      </c>
      <c r="L57" s="162">
        <v>12</v>
      </c>
      <c r="M57" s="145" t="s">
        <v>64</v>
      </c>
    </row>
    <row r="58" spans="3:13" x14ac:dyDescent="0.5">
      <c r="C58" s="28" t="s">
        <v>81</v>
      </c>
      <c r="D58" s="148">
        <v>100</v>
      </c>
      <c r="E58" s="149">
        <v>100</v>
      </c>
      <c r="F58" s="150">
        <v>100</v>
      </c>
      <c r="G58" s="149">
        <v>100</v>
      </c>
      <c r="H58" s="149">
        <v>100</v>
      </c>
      <c r="I58" s="150">
        <v>100</v>
      </c>
      <c r="J58" s="149">
        <v>100</v>
      </c>
      <c r="K58" s="149">
        <v>100</v>
      </c>
      <c r="L58" s="150">
        <v>100</v>
      </c>
      <c r="M58" s="146" t="s">
        <v>66</v>
      </c>
    </row>
    <row r="59" spans="3:13" x14ac:dyDescent="0.5">
      <c r="C59" s="28" t="s">
        <v>65</v>
      </c>
      <c r="D59" s="151">
        <v>92</v>
      </c>
      <c r="E59" s="152">
        <v>80</v>
      </c>
      <c r="F59" s="153">
        <v>84</v>
      </c>
      <c r="G59" s="159">
        <v>90</v>
      </c>
      <c r="H59" s="159">
        <v>70</v>
      </c>
      <c r="I59" s="160">
        <v>80</v>
      </c>
      <c r="J59" s="159">
        <v>85</v>
      </c>
      <c r="K59" s="159">
        <v>60</v>
      </c>
      <c r="L59" s="162">
        <v>70</v>
      </c>
      <c r="M59" s="145" t="s">
        <v>66</v>
      </c>
    </row>
    <row r="60" spans="3:13" x14ac:dyDescent="0.5">
      <c r="C60" s="28" t="s">
        <v>137</v>
      </c>
      <c r="D60" s="148">
        <v>0.05</v>
      </c>
      <c r="E60" s="149">
        <v>15</v>
      </c>
      <c r="F60" s="150">
        <v>5</v>
      </c>
      <c r="G60" s="149">
        <v>0.05</v>
      </c>
      <c r="H60" s="149">
        <v>20</v>
      </c>
      <c r="I60" s="150">
        <v>7</v>
      </c>
      <c r="J60" s="149">
        <v>0</v>
      </c>
      <c r="K60" s="149">
        <v>1</v>
      </c>
      <c r="L60" s="150">
        <v>0.15</v>
      </c>
      <c r="M60" s="146" t="s">
        <v>261</v>
      </c>
    </row>
    <row r="61" spans="3:13" x14ac:dyDescent="0.5">
      <c r="C61" s="28" t="s">
        <v>262</v>
      </c>
      <c r="D61" s="151">
        <v>0.1</v>
      </c>
      <c r="E61" s="152" t="s">
        <v>280</v>
      </c>
      <c r="F61" s="153">
        <v>0.5</v>
      </c>
      <c r="G61" s="159">
        <v>3</v>
      </c>
      <c r="H61" s="159">
        <v>20</v>
      </c>
      <c r="I61" s="160">
        <v>10</v>
      </c>
      <c r="J61" s="159" t="s">
        <v>281</v>
      </c>
      <c r="K61" s="159">
        <v>0.02</v>
      </c>
      <c r="L61" s="162">
        <v>0.01</v>
      </c>
      <c r="M61" s="145" t="s">
        <v>265</v>
      </c>
    </row>
    <row r="62" spans="3:13" x14ac:dyDescent="0.5">
      <c r="C62" s="156" t="s">
        <v>266</v>
      </c>
      <c r="D62" s="154">
        <v>0</v>
      </c>
      <c r="E62" s="149">
        <v>0</v>
      </c>
      <c r="F62" s="150">
        <v>0</v>
      </c>
      <c r="G62" s="149">
        <v>0</v>
      </c>
      <c r="H62" s="149">
        <v>0</v>
      </c>
      <c r="I62" s="150">
        <v>0</v>
      </c>
      <c r="J62" s="149">
        <v>0</v>
      </c>
      <c r="K62" s="149">
        <v>0</v>
      </c>
      <c r="L62" s="150">
        <v>0</v>
      </c>
      <c r="M62" s="146" t="s">
        <v>64</v>
      </c>
    </row>
    <row r="63" spans="3:13" x14ac:dyDescent="0.5">
      <c r="C63" s="28" t="s">
        <v>267</v>
      </c>
      <c r="D63" s="151">
        <v>315</v>
      </c>
      <c r="E63" s="152">
        <v>488</v>
      </c>
      <c r="F63" s="152">
        <v>399</v>
      </c>
      <c r="G63" s="151">
        <v>367.5</v>
      </c>
      <c r="H63" s="152">
        <v>735</v>
      </c>
      <c r="I63" s="153">
        <v>525</v>
      </c>
      <c r="J63" s="151">
        <v>315</v>
      </c>
      <c r="K63" s="152">
        <v>1050</v>
      </c>
      <c r="L63" s="153">
        <v>346.5</v>
      </c>
      <c r="M63" s="145" t="s">
        <v>268</v>
      </c>
    </row>
    <row r="64" spans="3:13" ht="14.7" thickBot="1" x14ac:dyDescent="0.55000000000000004">
      <c r="C64" s="157" t="s">
        <v>269</v>
      </c>
      <c r="D64" s="155">
        <v>0</v>
      </c>
      <c r="E64" s="155">
        <v>0</v>
      </c>
      <c r="F64" s="155">
        <v>0</v>
      </c>
      <c r="G64" s="161">
        <v>0</v>
      </c>
      <c r="H64" s="155">
        <v>0</v>
      </c>
      <c r="I64" s="155">
        <v>0</v>
      </c>
      <c r="J64" s="161">
        <v>1050</v>
      </c>
      <c r="K64" s="155">
        <v>1575</v>
      </c>
      <c r="L64" s="155">
        <v>1312.5</v>
      </c>
      <c r="M64" s="147" t="s">
        <v>61</v>
      </c>
    </row>
    <row r="66" spans="3:17" x14ac:dyDescent="0.5">
      <c r="P66" s="420"/>
      <c r="Q66" s="420"/>
    </row>
    <row r="67" spans="3:17" ht="15.7" x14ac:dyDescent="0.55000000000000004">
      <c r="C67" s="13"/>
      <c r="D67" s="421" t="s">
        <v>278</v>
      </c>
      <c r="E67" s="421"/>
      <c r="F67" s="421"/>
      <c r="G67" s="421" t="s">
        <v>282</v>
      </c>
      <c r="H67" s="421"/>
      <c r="I67" s="421"/>
      <c r="J67" s="421"/>
      <c r="K67" s="421"/>
      <c r="L67" s="421"/>
      <c r="M67" s="14"/>
    </row>
    <row r="68" spans="3:17" ht="14.7" thickBot="1" x14ac:dyDescent="0.55000000000000004">
      <c r="C68" s="13"/>
      <c r="D68" s="419" t="s">
        <v>283</v>
      </c>
      <c r="E68" s="419"/>
      <c r="F68" s="419"/>
      <c r="G68" s="419" t="s">
        <v>284</v>
      </c>
      <c r="H68" s="419"/>
      <c r="I68" s="419"/>
      <c r="J68" s="419" t="s">
        <v>285</v>
      </c>
      <c r="K68" s="419"/>
      <c r="L68" s="419"/>
      <c r="M68" s="28"/>
    </row>
    <row r="69" spans="3:17" x14ac:dyDescent="0.5">
      <c r="C69" s="4"/>
      <c r="D69" s="4" t="s">
        <v>56</v>
      </c>
      <c r="E69" s="4" t="s">
        <v>57</v>
      </c>
      <c r="F69" s="4" t="s">
        <v>273</v>
      </c>
      <c r="G69" s="4" t="s">
        <v>56</v>
      </c>
      <c r="H69" s="4" t="s">
        <v>57</v>
      </c>
      <c r="I69" s="4" t="s">
        <v>273</v>
      </c>
      <c r="J69" s="4" t="s">
        <v>56</v>
      </c>
      <c r="K69" s="4" t="s">
        <v>57</v>
      </c>
      <c r="L69" s="4" t="s">
        <v>273</v>
      </c>
      <c r="M69" s="4" t="s">
        <v>59</v>
      </c>
    </row>
    <row r="70" spans="3:17" x14ac:dyDescent="0.5">
      <c r="C70" s="28" t="s">
        <v>255</v>
      </c>
      <c r="D70" s="148">
        <v>70</v>
      </c>
      <c r="E70" s="149">
        <v>20</v>
      </c>
      <c r="F70" s="150">
        <v>45</v>
      </c>
      <c r="G70" s="149">
        <v>0</v>
      </c>
      <c r="H70" s="158">
        <v>0</v>
      </c>
      <c r="I70" s="150">
        <v>0</v>
      </c>
      <c r="J70" s="149">
        <v>0</v>
      </c>
      <c r="K70" s="149">
        <v>0</v>
      </c>
      <c r="L70" s="150">
        <v>0</v>
      </c>
      <c r="M70" s="144" t="s">
        <v>256</v>
      </c>
    </row>
    <row r="71" spans="3:17" x14ac:dyDescent="0.5">
      <c r="C71" s="28" t="s">
        <v>257</v>
      </c>
      <c r="D71" s="151">
        <v>25</v>
      </c>
      <c r="E71" s="152">
        <v>0.5</v>
      </c>
      <c r="F71" s="153">
        <v>10</v>
      </c>
      <c r="G71" s="159">
        <v>0</v>
      </c>
      <c r="H71" s="159">
        <v>0</v>
      </c>
      <c r="I71" s="160">
        <v>0</v>
      </c>
      <c r="J71" s="159">
        <v>0</v>
      </c>
      <c r="K71" s="159">
        <v>0</v>
      </c>
      <c r="L71" s="162">
        <v>0</v>
      </c>
      <c r="M71" s="145" t="s">
        <v>258</v>
      </c>
    </row>
    <row r="72" spans="3:17" x14ac:dyDescent="0.5">
      <c r="C72" s="28" t="s">
        <v>259</v>
      </c>
      <c r="D72" s="148">
        <v>14000</v>
      </c>
      <c r="E72" s="149">
        <v>300</v>
      </c>
      <c r="F72" s="150">
        <v>10000</v>
      </c>
      <c r="G72" s="149">
        <v>0</v>
      </c>
      <c r="H72" s="149">
        <v>0</v>
      </c>
      <c r="I72" s="150">
        <v>0</v>
      </c>
      <c r="J72" s="149">
        <v>0</v>
      </c>
      <c r="K72" s="149">
        <v>0</v>
      </c>
      <c r="L72" s="150">
        <v>0</v>
      </c>
      <c r="M72" s="146" t="s">
        <v>105</v>
      </c>
    </row>
    <row r="73" spans="3:17" x14ac:dyDescent="0.5">
      <c r="C73" s="28" t="s">
        <v>260</v>
      </c>
      <c r="D73" s="151">
        <v>20</v>
      </c>
      <c r="E73" s="152">
        <v>5</v>
      </c>
      <c r="F73" s="153">
        <v>10</v>
      </c>
      <c r="G73" s="159">
        <v>25</v>
      </c>
      <c r="H73" s="159">
        <v>10</v>
      </c>
      <c r="I73" s="160">
        <v>12</v>
      </c>
      <c r="J73" s="159">
        <v>25</v>
      </c>
      <c r="K73" s="159">
        <v>19</v>
      </c>
      <c r="L73" s="162">
        <v>20</v>
      </c>
      <c r="M73" s="145" t="s">
        <v>64</v>
      </c>
    </row>
    <row r="74" spans="3:17" x14ac:dyDescent="0.5">
      <c r="C74" s="28" t="s">
        <v>81</v>
      </c>
      <c r="D74" s="148">
        <v>100</v>
      </c>
      <c r="E74" s="149">
        <v>100</v>
      </c>
      <c r="F74" s="150">
        <v>100</v>
      </c>
      <c r="G74" s="149">
        <v>0</v>
      </c>
      <c r="H74" s="149">
        <v>0</v>
      </c>
      <c r="I74" s="150">
        <v>0</v>
      </c>
      <c r="J74" s="149">
        <v>0</v>
      </c>
      <c r="K74" s="149">
        <v>0</v>
      </c>
      <c r="L74" s="150">
        <v>0</v>
      </c>
      <c r="M74" s="146" t="s">
        <v>66</v>
      </c>
    </row>
    <row r="75" spans="3:17" x14ac:dyDescent="0.5">
      <c r="C75" s="28" t="s">
        <v>65</v>
      </c>
      <c r="D75" s="151">
        <v>85</v>
      </c>
      <c r="E75" s="152">
        <v>60</v>
      </c>
      <c r="F75" s="153">
        <v>70</v>
      </c>
      <c r="G75" s="159">
        <v>97</v>
      </c>
      <c r="H75" s="159">
        <v>93</v>
      </c>
      <c r="I75" s="160">
        <v>95</v>
      </c>
      <c r="J75" s="159">
        <v>98</v>
      </c>
      <c r="K75" s="159">
        <v>98</v>
      </c>
      <c r="L75" s="162">
        <v>98</v>
      </c>
      <c r="M75" s="145" t="s">
        <v>66</v>
      </c>
    </row>
    <row r="76" spans="3:17" x14ac:dyDescent="0.5">
      <c r="C76" s="28" t="s">
        <v>137</v>
      </c>
      <c r="D76" s="148">
        <v>8</v>
      </c>
      <c r="E76" s="149">
        <v>33.6</v>
      </c>
      <c r="F76" s="150">
        <v>15</v>
      </c>
      <c r="G76" s="149">
        <v>0</v>
      </c>
      <c r="H76" s="149">
        <v>0</v>
      </c>
      <c r="I76" s="150">
        <v>0</v>
      </c>
      <c r="J76" s="149">
        <v>0</v>
      </c>
      <c r="K76" s="149">
        <v>0</v>
      </c>
      <c r="L76" s="150">
        <v>0</v>
      </c>
      <c r="M76" s="146" t="s">
        <v>261</v>
      </c>
    </row>
    <row r="77" spans="3:17" x14ac:dyDescent="0.5">
      <c r="C77" s="28" t="s">
        <v>262</v>
      </c>
      <c r="D77" s="151" t="s">
        <v>281</v>
      </c>
      <c r="E77" s="152">
        <v>0.02</v>
      </c>
      <c r="F77" s="153">
        <v>0.01</v>
      </c>
      <c r="G77" s="159" t="s">
        <v>83</v>
      </c>
      <c r="H77" s="159" t="s">
        <v>83</v>
      </c>
      <c r="I77" s="160">
        <v>0.02</v>
      </c>
      <c r="J77" s="159" t="s">
        <v>83</v>
      </c>
      <c r="K77" s="159" t="s">
        <v>83</v>
      </c>
      <c r="L77" s="162">
        <v>0.02</v>
      </c>
      <c r="M77" s="145" t="s">
        <v>265</v>
      </c>
    </row>
    <row r="78" spans="3:17" x14ac:dyDescent="0.5">
      <c r="C78" s="156" t="s">
        <v>266</v>
      </c>
      <c r="D78" s="154">
        <v>0</v>
      </c>
      <c r="E78" s="149">
        <v>0</v>
      </c>
      <c r="F78" s="150">
        <v>0</v>
      </c>
      <c r="G78" s="149">
        <v>0</v>
      </c>
      <c r="H78" s="149">
        <v>0</v>
      </c>
      <c r="I78" s="150">
        <v>0</v>
      </c>
      <c r="J78" s="149">
        <v>0</v>
      </c>
      <c r="K78" s="149">
        <v>0</v>
      </c>
      <c r="L78" s="150">
        <v>0</v>
      </c>
      <c r="M78" s="146" t="s">
        <v>64</v>
      </c>
    </row>
    <row r="79" spans="3:17" x14ac:dyDescent="0.5">
      <c r="C79" s="28" t="s">
        <v>267</v>
      </c>
      <c r="D79" s="151">
        <v>525</v>
      </c>
      <c r="E79" s="152">
        <v>1680</v>
      </c>
      <c r="F79" s="152">
        <v>900</v>
      </c>
      <c r="G79" s="151">
        <v>0</v>
      </c>
      <c r="H79" s="152">
        <v>0</v>
      </c>
      <c r="I79" s="153">
        <v>0</v>
      </c>
      <c r="J79" s="151">
        <v>0</v>
      </c>
      <c r="K79" s="152">
        <v>0</v>
      </c>
      <c r="L79" s="153">
        <v>0</v>
      </c>
      <c r="M79" s="145" t="s">
        <v>268</v>
      </c>
    </row>
    <row r="80" spans="3:17" ht="14.7" thickBot="1" x14ac:dyDescent="0.55000000000000004">
      <c r="C80" s="157" t="s">
        <v>269</v>
      </c>
      <c r="D80" s="155">
        <v>0</v>
      </c>
      <c r="E80" s="155">
        <v>0</v>
      </c>
      <c r="F80" s="155">
        <v>0</v>
      </c>
      <c r="G80" s="161">
        <v>105</v>
      </c>
      <c r="H80" s="155">
        <v>290</v>
      </c>
      <c r="I80" s="155">
        <v>155.4</v>
      </c>
      <c r="J80" s="161">
        <v>73.5</v>
      </c>
      <c r="K80" s="155">
        <v>189</v>
      </c>
      <c r="L80" s="155">
        <v>105</v>
      </c>
      <c r="M80" s="147" t="s">
        <v>61</v>
      </c>
    </row>
  </sheetData>
  <mergeCells count="29">
    <mergeCell ref="D3:L3"/>
    <mergeCell ref="D4:F4"/>
    <mergeCell ref="G4:I4"/>
    <mergeCell ref="J4:L4"/>
    <mergeCell ref="D19:I19"/>
    <mergeCell ref="J19:L19"/>
    <mergeCell ref="D20:F20"/>
    <mergeCell ref="G20:I20"/>
    <mergeCell ref="J20:L20"/>
    <mergeCell ref="D35:L35"/>
    <mergeCell ref="D36:F36"/>
    <mergeCell ref="G36:I36"/>
    <mergeCell ref="J36:L36"/>
    <mergeCell ref="P66:Q66"/>
    <mergeCell ref="D67:F67"/>
    <mergeCell ref="V36:W36"/>
    <mergeCell ref="X36:Y36"/>
    <mergeCell ref="W46:Z46"/>
    <mergeCell ref="W47:X47"/>
    <mergeCell ref="Y47:Z47"/>
    <mergeCell ref="D51:I51"/>
    <mergeCell ref="J51:L51"/>
    <mergeCell ref="G67:L67"/>
    <mergeCell ref="D68:F68"/>
    <mergeCell ref="G68:I68"/>
    <mergeCell ref="J68:L68"/>
    <mergeCell ref="D52:F52"/>
    <mergeCell ref="G52:I52"/>
    <mergeCell ref="J52:L52"/>
  </mergeCells>
  <pageMargins left="0.7" right="0.7" top="0.78740157499999996" bottom="0.78740157499999996" header="0.3" footer="0.3"/>
  <pageSetup paperSize="9"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8"/>
  <dimension ref="A2:M50"/>
  <sheetViews>
    <sheetView topLeftCell="A25" workbookViewId="0">
      <selection activeCell="B51" sqref="B51"/>
    </sheetView>
  </sheetViews>
  <sheetFormatPr defaultColWidth="9.17578125" defaultRowHeight="14.35" x14ac:dyDescent="0.5"/>
  <cols>
    <col min="1" max="1" width="12.8203125" bestFit="1" customWidth="1"/>
    <col min="2" max="2" width="26.52734375" customWidth="1"/>
    <col min="3" max="8" width="10.64453125" customWidth="1"/>
    <col min="9" max="9" width="20.29296875" customWidth="1"/>
    <col min="10" max="10" width="13.8203125" customWidth="1"/>
    <col min="11" max="15" width="12.64453125" customWidth="1"/>
  </cols>
  <sheetData>
    <row r="2" spans="2:12" ht="18.350000000000001" thickBot="1" x14ac:dyDescent="0.65">
      <c r="B2" s="1" t="s">
        <v>50</v>
      </c>
      <c r="C2" s="9"/>
      <c r="I2" s="1" t="s">
        <v>286</v>
      </c>
    </row>
    <row r="3" spans="2:12" x14ac:dyDescent="0.5">
      <c r="B3" s="4"/>
      <c r="C3" s="4">
        <v>2016</v>
      </c>
      <c r="D3" s="4">
        <v>2020</v>
      </c>
      <c r="E3" s="4">
        <v>2025</v>
      </c>
      <c r="F3" s="4">
        <v>2030</v>
      </c>
      <c r="G3" s="4" t="s">
        <v>59</v>
      </c>
      <c r="H3" s="3"/>
      <c r="I3" s="4" t="s">
        <v>287</v>
      </c>
      <c r="J3" s="4" t="s">
        <v>288</v>
      </c>
      <c r="K3" s="4" t="s">
        <v>289</v>
      </c>
      <c r="L3" s="4" t="s">
        <v>290</v>
      </c>
    </row>
    <row r="4" spans="2:12" x14ac:dyDescent="0.5">
      <c r="B4" s="3" t="s">
        <v>267</v>
      </c>
      <c r="C4" s="203">
        <f>'Overview 2016 (in)'!F15</f>
        <v>21</v>
      </c>
      <c r="D4" s="203">
        <v>56</v>
      </c>
      <c r="E4" s="203">
        <v>72</v>
      </c>
      <c r="F4" s="203">
        <v>72</v>
      </c>
      <c r="G4" t="s">
        <v>268</v>
      </c>
      <c r="I4">
        <v>2016</v>
      </c>
      <c r="J4">
        <v>4</v>
      </c>
      <c r="K4">
        <v>4</v>
      </c>
      <c r="L4">
        <v>4</v>
      </c>
    </row>
    <row r="5" spans="2:12" x14ac:dyDescent="0.5">
      <c r="B5" s="3" t="s">
        <v>269</v>
      </c>
      <c r="C5" s="203">
        <f>'Overview 2016 (in)'!F16</f>
        <v>840</v>
      </c>
      <c r="D5" s="203">
        <v>1051</v>
      </c>
      <c r="E5" s="203">
        <v>1112</v>
      </c>
      <c r="F5" s="203">
        <v>1112</v>
      </c>
      <c r="G5" t="s">
        <v>61</v>
      </c>
      <c r="I5">
        <v>2016</v>
      </c>
      <c r="J5">
        <v>4</v>
      </c>
      <c r="K5">
        <v>4</v>
      </c>
      <c r="L5">
        <v>4</v>
      </c>
    </row>
    <row r="6" spans="2:12" x14ac:dyDescent="0.5">
      <c r="B6" s="3" t="s">
        <v>259</v>
      </c>
      <c r="C6">
        <f>'Overview 2016 (in)'!F8</f>
        <v>50000</v>
      </c>
      <c r="D6">
        <v>50000</v>
      </c>
      <c r="E6">
        <v>50000</v>
      </c>
      <c r="F6">
        <v>50000</v>
      </c>
      <c r="G6" t="s">
        <v>105</v>
      </c>
      <c r="I6">
        <v>2016</v>
      </c>
      <c r="J6" t="s">
        <v>291</v>
      </c>
      <c r="K6" t="s">
        <v>291</v>
      </c>
      <c r="L6" t="s">
        <v>291</v>
      </c>
    </row>
    <row r="7" spans="2:12" x14ac:dyDescent="0.5">
      <c r="B7" s="3" t="s">
        <v>260</v>
      </c>
      <c r="C7">
        <f>'Overview 2016 (in)'!F9</f>
        <v>60</v>
      </c>
      <c r="D7">
        <v>60</v>
      </c>
      <c r="E7">
        <v>60</v>
      </c>
      <c r="F7">
        <v>60</v>
      </c>
      <c r="G7" t="s">
        <v>64</v>
      </c>
      <c r="I7">
        <v>2016</v>
      </c>
      <c r="J7" t="s">
        <v>291</v>
      </c>
      <c r="K7" t="s">
        <v>291</v>
      </c>
      <c r="L7" t="s">
        <v>291</v>
      </c>
    </row>
    <row r="8" spans="2:12" x14ac:dyDescent="0.5">
      <c r="B8" s="3" t="s">
        <v>65</v>
      </c>
      <c r="C8">
        <v>80</v>
      </c>
      <c r="D8">
        <v>80</v>
      </c>
      <c r="E8">
        <v>80</v>
      </c>
      <c r="F8">
        <v>80</v>
      </c>
      <c r="G8" t="s">
        <v>66</v>
      </c>
      <c r="I8">
        <v>2016</v>
      </c>
      <c r="J8" t="s">
        <v>291</v>
      </c>
      <c r="K8" t="s">
        <v>291</v>
      </c>
      <c r="L8" t="s">
        <v>291</v>
      </c>
    </row>
    <row r="9" spans="2:12" x14ac:dyDescent="0.5">
      <c r="B9" s="3" t="s">
        <v>292</v>
      </c>
      <c r="C9">
        <v>4</v>
      </c>
      <c r="D9">
        <v>4</v>
      </c>
      <c r="E9">
        <v>4</v>
      </c>
      <c r="F9">
        <v>4</v>
      </c>
      <c r="G9" t="s">
        <v>74</v>
      </c>
      <c r="I9">
        <v>4</v>
      </c>
      <c r="J9">
        <v>4</v>
      </c>
      <c r="K9">
        <v>4</v>
      </c>
      <c r="L9">
        <v>4</v>
      </c>
    </row>
    <row r="10" spans="2:12" ht="14.7" thickBot="1" x14ac:dyDescent="0.55000000000000004">
      <c r="B10" s="5" t="s">
        <v>293</v>
      </c>
      <c r="C10" s="6">
        <v>10</v>
      </c>
      <c r="D10" s="6">
        <v>10</v>
      </c>
      <c r="E10" s="6">
        <v>10</v>
      </c>
      <c r="F10" s="6">
        <v>10</v>
      </c>
      <c r="G10" s="6" t="s">
        <v>74</v>
      </c>
      <c r="I10" s="6">
        <v>4</v>
      </c>
      <c r="J10" s="6">
        <v>4</v>
      </c>
      <c r="K10" s="6">
        <v>4</v>
      </c>
      <c r="L10" s="6">
        <v>4</v>
      </c>
    </row>
    <row r="11" spans="2:12" x14ac:dyDescent="0.5">
      <c r="B11" s="3"/>
      <c r="C11" s="10"/>
    </row>
    <row r="12" spans="2:12" x14ac:dyDescent="0.5">
      <c r="B12" s="3"/>
      <c r="C12" s="10"/>
    </row>
    <row r="13" spans="2:12" x14ac:dyDescent="0.5">
      <c r="K13" s="2" t="s">
        <v>294</v>
      </c>
    </row>
    <row r="14" spans="2:12" ht="18.350000000000001" thickBot="1" x14ac:dyDescent="0.65">
      <c r="B14" s="1" t="s">
        <v>295</v>
      </c>
      <c r="K14" s="11" t="s">
        <v>296</v>
      </c>
    </row>
    <row r="15" spans="2:12" x14ac:dyDescent="0.5">
      <c r="B15" s="7" t="s">
        <v>297</v>
      </c>
      <c r="C15" s="7" t="s">
        <v>298</v>
      </c>
      <c r="D15" s="7" t="s">
        <v>299</v>
      </c>
      <c r="E15" s="7" t="s">
        <v>300</v>
      </c>
      <c r="F15" s="46" t="s">
        <v>301</v>
      </c>
      <c r="G15" s="7"/>
      <c r="K15" s="40" t="s">
        <v>302</v>
      </c>
      <c r="L15" s="40"/>
    </row>
    <row r="16" spans="2:12" x14ac:dyDescent="0.5">
      <c r="B16">
        <v>1</v>
      </c>
      <c r="C16" t="s">
        <v>303</v>
      </c>
      <c r="D16" t="s">
        <v>304</v>
      </c>
      <c r="E16" s="164" t="s">
        <v>305</v>
      </c>
      <c r="F16" s="45" t="s">
        <v>306</v>
      </c>
    </row>
    <row r="17" spans="1:13" x14ac:dyDescent="0.5">
      <c r="B17">
        <v>2</v>
      </c>
      <c r="C17" t="s">
        <v>307</v>
      </c>
      <c r="D17" t="s">
        <v>308</v>
      </c>
      <c r="E17" s="164" t="s">
        <v>309</v>
      </c>
      <c r="F17" s="45" t="s">
        <v>310</v>
      </c>
    </row>
    <row r="18" spans="1:13" x14ac:dyDescent="0.5">
      <c r="B18">
        <v>3</v>
      </c>
      <c r="C18" t="s">
        <v>311</v>
      </c>
      <c r="D18" t="s">
        <v>312</v>
      </c>
      <c r="E18" s="164" t="s">
        <v>313</v>
      </c>
      <c r="F18" s="45" t="s">
        <v>314</v>
      </c>
    </row>
    <row r="19" spans="1:13" x14ac:dyDescent="0.5">
      <c r="B19">
        <v>4</v>
      </c>
      <c r="C19" t="s">
        <v>315</v>
      </c>
      <c r="D19" t="s">
        <v>316</v>
      </c>
      <c r="E19" s="207" t="s">
        <v>317</v>
      </c>
      <c r="F19" s="45" t="s">
        <v>318</v>
      </c>
    </row>
    <row r="21" spans="1:13" x14ac:dyDescent="0.5">
      <c r="A21" s="68" t="s">
        <v>319</v>
      </c>
    </row>
    <row r="22" spans="1:13" ht="14.7" thickBot="1" x14ac:dyDescent="0.55000000000000004">
      <c r="A22" s="68" t="s">
        <v>320</v>
      </c>
    </row>
    <row r="23" spans="1:13" x14ac:dyDescent="0.5">
      <c r="A23" s="3" t="s">
        <v>321</v>
      </c>
      <c r="B23" s="4"/>
      <c r="C23" s="4">
        <v>2016</v>
      </c>
      <c r="D23" s="29">
        <v>2020</v>
      </c>
      <c r="E23" s="4">
        <v>2023</v>
      </c>
      <c r="F23" s="29">
        <v>2025</v>
      </c>
      <c r="G23" s="29">
        <v>2030</v>
      </c>
      <c r="H23" s="4">
        <v>2033</v>
      </c>
      <c r="I23" s="4" t="s">
        <v>59</v>
      </c>
      <c r="J23" s="16" t="s">
        <v>322</v>
      </c>
      <c r="K23" s="4" t="s">
        <v>323</v>
      </c>
      <c r="M23" t="s">
        <v>324</v>
      </c>
    </row>
    <row r="24" spans="1:13" x14ac:dyDescent="0.5">
      <c r="B24" s="3" t="s">
        <v>267</v>
      </c>
      <c r="C24" s="32">
        <f>C4</f>
        <v>21</v>
      </c>
      <c r="D24" s="54">
        <f>$C24*(1-$J24)^(D$23-$C$23)</f>
        <v>28.907533738929452</v>
      </c>
      <c r="E24" s="39"/>
      <c r="F24" s="54">
        <f>$C24*(1-$J24)^(F$23-$C$23)</f>
        <v>43.102327681949532</v>
      </c>
      <c r="G24" s="58">
        <f>50*Financials!D5</f>
        <v>64.267352185089976</v>
      </c>
      <c r="H24" s="38"/>
      <c r="I24" t="s">
        <v>268</v>
      </c>
      <c r="J24" s="168">
        <f>1-(G24/C24)^(1/(G$23-C$23))</f>
        <v>-8.3173276087068038E-2</v>
      </c>
      <c r="K24" s="44"/>
    </row>
    <row r="25" spans="1:13" x14ac:dyDescent="0.5">
      <c r="B25" s="3" t="s">
        <v>269</v>
      </c>
      <c r="C25" s="32">
        <f>C5</f>
        <v>840</v>
      </c>
      <c r="D25" s="54">
        <f>$C25*(1-$J25)^(D$23-$C$23)</f>
        <v>1010.9997250432319</v>
      </c>
      <c r="E25" s="39"/>
      <c r="F25" s="54">
        <f>$C25*(1-$J25)^(F$23-$C$23)</f>
        <v>1274.502602864962</v>
      </c>
      <c r="G25" s="58">
        <f>1250*Financials!D5</f>
        <v>1606.6838046272494</v>
      </c>
      <c r="H25" s="38"/>
      <c r="I25" t="s">
        <v>61</v>
      </c>
      <c r="J25" s="168">
        <f>1-(G25/C25)^(1/(G$23-C$23))</f>
        <v>-4.7412946929862976E-2</v>
      </c>
      <c r="K25" s="44"/>
    </row>
    <row r="26" spans="1:13" x14ac:dyDescent="0.5">
      <c r="B26" s="3" t="s">
        <v>259</v>
      </c>
      <c r="C26">
        <f>C6</f>
        <v>50000</v>
      </c>
      <c r="D26" s="54">
        <f>$C26*(1-$J26)^(D$23-$C$23)</f>
        <v>50000</v>
      </c>
      <c r="E26" s="39"/>
      <c r="F26" s="54">
        <f>$C26*(1-$J26)^(F$23-$C$23)</f>
        <v>50000</v>
      </c>
      <c r="G26" s="3">
        <f>C6</f>
        <v>50000</v>
      </c>
      <c r="H26" s="40"/>
      <c r="I26" t="s">
        <v>105</v>
      </c>
      <c r="J26" s="168">
        <f>1-(G26/C26)^(1/(G$23-C$23))</f>
        <v>0</v>
      </c>
      <c r="K26" s="44"/>
    </row>
    <row r="27" spans="1:13" x14ac:dyDescent="0.5">
      <c r="B27" s="3" t="s">
        <v>260</v>
      </c>
      <c r="C27">
        <f>C7</f>
        <v>60</v>
      </c>
      <c r="D27" s="54">
        <f>$C27*(1-$J27)^(D$23-$C$23)</f>
        <v>60</v>
      </c>
      <c r="E27" s="39"/>
      <c r="F27" s="54">
        <f>$C27*(1-$J27)^(F$23-$C$23)</f>
        <v>60</v>
      </c>
      <c r="G27" s="3">
        <f>C7</f>
        <v>60</v>
      </c>
      <c r="H27" s="40"/>
      <c r="I27" t="s">
        <v>64</v>
      </c>
      <c r="J27" s="168">
        <f>1-(G27/C27)^(1/(G$23-C$23))</f>
        <v>0</v>
      </c>
      <c r="K27" s="44"/>
    </row>
    <row r="28" spans="1:13" ht="14.7" thickBot="1" x14ac:dyDescent="0.55000000000000004">
      <c r="B28" s="5" t="s">
        <v>65</v>
      </c>
      <c r="C28" s="6">
        <f>C8</f>
        <v>80</v>
      </c>
      <c r="D28" s="55">
        <f>$C28*(1-$J28)^(D$23-$C$23)</f>
        <v>44.163580546952488</v>
      </c>
      <c r="E28" s="41"/>
      <c r="F28" s="55">
        <f>$C28*(1-$J28)^(F$23-$C$23)</f>
        <v>21.015132773064384</v>
      </c>
      <c r="G28" s="5">
        <f>C10</f>
        <v>10</v>
      </c>
      <c r="H28" s="42"/>
      <c r="I28" s="6" t="s">
        <v>66</v>
      </c>
      <c r="J28" s="169">
        <f>1-(G28/C28)^(1/(G$23-C$23))</f>
        <v>0.13802717875302228</v>
      </c>
      <c r="K28" s="166"/>
    </row>
    <row r="29" spans="1:13" ht="14.7" thickBot="1" x14ac:dyDescent="0.55000000000000004">
      <c r="J29" s="168"/>
      <c r="K29" s="44"/>
    </row>
    <row r="30" spans="1:13" x14ac:dyDescent="0.5">
      <c r="A30" s="3" t="s">
        <v>325</v>
      </c>
      <c r="B30" s="4"/>
      <c r="C30" s="4">
        <v>2016</v>
      </c>
      <c r="D30" s="29">
        <v>2020</v>
      </c>
      <c r="E30" s="4">
        <v>2023</v>
      </c>
      <c r="F30" s="29">
        <v>2025</v>
      </c>
      <c r="G30" s="29">
        <v>2030</v>
      </c>
      <c r="H30" s="4">
        <v>2033</v>
      </c>
      <c r="I30" s="4" t="s">
        <v>59</v>
      </c>
      <c r="J30" s="170"/>
      <c r="K30" s="167"/>
    </row>
    <row r="31" spans="1:13" x14ac:dyDescent="0.5">
      <c r="B31" s="3" t="s">
        <v>267</v>
      </c>
      <c r="C31" s="32">
        <f>C4</f>
        <v>21</v>
      </c>
      <c r="D31" s="54">
        <f>$C31*(1-$J31)^(D$23-$C$23)</f>
        <v>40.542290878455894</v>
      </c>
      <c r="E31" s="32">
        <f>50*Financials!D7</f>
        <v>66.40106241699867</v>
      </c>
      <c r="F31" s="54">
        <f>$E31*(1-$K31)^(F$23-$E$23)</f>
        <v>66.40106241699867</v>
      </c>
      <c r="G31" s="54">
        <f>$E31*(1-$K31)^(G$23-$E$23)</f>
        <v>66.40106241699867</v>
      </c>
      <c r="H31" s="32">
        <f>50*Financials!D7</f>
        <v>66.40106241699867</v>
      </c>
      <c r="I31" t="s">
        <v>268</v>
      </c>
      <c r="J31" s="168">
        <f>1-(E31/C31)^(1/(E$23-C$23))</f>
        <v>-0.17875147076572917</v>
      </c>
      <c r="K31" s="44">
        <f>1-(H31/E31)^(1/(H$23-E$23))</f>
        <v>0</v>
      </c>
    </row>
    <row r="32" spans="1:13" x14ac:dyDescent="0.5">
      <c r="B32" s="3" t="s">
        <v>269</v>
      </c>
      <c r="C32" s="32">
        <f>C5</f>
        <v>840</v>
      </c>
      <c r="D32" s="54">
        <f>$C32*(1-$J32)^(D$23-$C$23)</f>
        <v>840</v>
      </c>
      <c r="E32" s="32">
        <f>1100*Financials!D7</f>
        <v>1460.8233731739706</v>
      </c>
      <c r="F32" s="54">
        <f>$E32*(1-$K32)^(F$23-$E$23)</f>
        <v>1460.8233731739706</v>
      </c>
      <c r="G32" s="54">
        <f>$E32*(1-$K32)^(G$23-$E$23)</f>
        <v>1460.8233731739706</v>
      </c>
      <c r="H32" s="32">
        <f>1100*Financials!D7</f>
        <v>1460.8233731739706</v>
      </c>
      <c r="I32" t="s">
        <v>61</v>
      </c>
      <c r="J32" s="168"/>
      <c r="K32" s="44"/>
    </row>
    <row r="33" spans="1:11" x14ac:dyDescent="0.5">
      <c r="B33" s="3" t="s">
        <v>259</v>
      </c>
      <c r="C33">
        <f>C6</f>
        <v>50000</v>
      </c>
      <c r="D33" s="63"/>
      <c r="E33" s="63"/>
      <c r="F33" s="63"/>
      <c r="G33" s="63"/>
      <c r="H33" s="40"/>
      <c r="I33" t="s">
        <v>105</v>
      </c>
      <c r="J33" s="168"/>
      <c r="K33" s="44"/>
    </row>
    <row r="34" spans="1:11" x14ac:dyDescent="0.5">
      <c r="B34" s="3" t="s">
        <v>260</v>
      </c>
      <c r="C34">
        <f>C7</f>
        <v>60</v>
      </c>
      <c r="D34" s="54">
        <f>$C34*(1-$J34)^(D$23-$C$23)</f>
        <v>60</v>
      </c>
      <c r="E34" s="32">
        <v>60</v>
      </c>
      <c r="F34" s="54">
        <f>$E34*(1-$K34)^(F$23-$E$23)</f>
        <v>60</v>
      </c>
      <c r="G34" s="54">
        <f>$E34*(1-$K34)^(G$23-$E$23)</f>
        <v>60</v>
      </c>
      <c r="H34">
        <v>60</v>
      </c>
      <c r="I34" t="s">
        <v>64</v>
      </c>
      <c r="J34" s="168">
        <f>1-(E34/C34)^(1/(E$23-C$23))</f>
        <v>0</v>
      </c>
      <c r="K34" s="44">
        <f>1-(H34/E34)^(1/(H$23-E$23))</f>
        <v>0</v>
      </c>
    </row>
    <row r="35" spans="1:11" ht="14.7" thickBot="1" x14ac:dyDescent="0.55000000000000004">
      <c r="B35" s="5" t="s">
        <v>65</v>
      </c>
      <c r="C35" s="6">
        <f>C8</f>
        <v>80</v>
      </c>
      <c r="D35" s="55">
        <f>$C35*(1-$J35)^(D$23-$C$23)</f>
        <v>80</v>
      </c>
      <c r="E35" s="33">
        <v>80</v>
      </c>
      <c r="F35" s="55">
        <f>$E35*(1-$K35)^(F$23-$E$23)</f>
        <v>80</v>
      </c>
      <c r="G35" s="55">
        <f>$E35*(1-$K35)^(G$23-$E$23)</f>
        <v>80</v>
      </c>
      <c r="H35" s="6">
        <v>80</v>
      </c>
      <c r="I35" s="6" t="s">
        <v>66</v>
      </c>
      <c r="J35" s="169">
        <f>1-(E35/C35)^(1/(E$23-C$23))</f>
        <v>0</v>
      </c>
      <c r="K35" s="166">
        <f>1-(H35/E35)^(1/(H$23-E$23))</f>
        <v>0</v>
      </c>
    </row>
    <row r="36" spans="1:11" ht="14.7" thickBot="1" x14ac:dyDescent="0.55000000000000004">
      <c r="J36" s="16"/>
      <c r="K36" s="4"/>
    </row>
    <row r="37" spans="1:11" x14ac:dyDescent="0.5">
      <c r="A37" s="3" t="s">
        <v>326</v>
      </c>
      <c r="B37" s="4"/>
      <c r="C37" s="4">
        <v>2016</v>
      </c>
      <c r="D37" s="29">
        <v>2020</v>
      </c>
      <c r="E37" s="4">
        <v>2023</v>
      </c>
      <c r="F37" s="29">
        <v>2025</v>
      </c>
      <c r="G37" s="29">
        <v>2030</v>
      </c>
      <c r="H37" s="4">
        <v>2050</v>
      </c>
      <c r="I37" s="4" t="s">
        <v>59</v>
      </c>
      <c r="J37" s="170"/>
      <c r="K37" s="167"/>
    </row>
    <row r="38" spans="1:11" x14ac:dyDescent="0.5">
      <c r="B38" s="3" t="s">
        <v>267</v>
      </c>
      <c r="C38" s="32">
        <f>C4</f>
        <v>21</v>
      </c>
      <c r="D38" s="62"/>
      <c r="E38" s="38"/>
      <c r="F38" s="62"/>
      <c r="G38" s="63"/>
      <c r="H38" s="38"/>
      <c r="I38" t="s">
        <v>268</v>
      </c>
      <c r="J38" s="168">
        <f>1-(H38/C38)^(1/(H$37-C$37))</f>
        <v>1</v>
      </c>
      <c r="K38" s="44"/>
    </row>
    <row r="39" spans="1:11" x14ac:dyDescent="0.5">
      <c r="B39" s="3" t="s">
        <v>269</v>
      </c>
      <c r="C39" s="32">
        <f>C5</f>
        <v>840</v>
      </c>
      <c r="D39" s="62"/>
      <c r="E39" s="38"/>
      <c r="F39" s="66"/>
      <c r="G39" s="62"/>
      <c r="H39" s="38"/>
      <c r="I39" t="s">
        <v>61</v>
      </c>
      <c r="J39" s="168">
        <f t="shared" ref="J39:J42" si="0">1-(H39/C39)^(1/(H$37-C$37))</f>
        <v>1</v>
      </c>
      <c r="K39" s="44"/>
    </row>
    <row r="40" spans="1:11" x14ac:dyDescent="0.5">
      <c r="B40" s="3" t="s">
        <v>259</v>
      </c>
      <c r="C40">
        <f>C6</f>
        <v>50000</v>
      </c>
      <c r="D40" s="54">
        <f>$C40*(1-$J40)^(D$23-$C$23)</f>
        <v>54248.195682181853</v>
      </c>
      <c r="E40" s="30">
        <f t="shared" ref="E40:G42" si="1">$C40*(1-$J40)^(E$23-$C$23)</f>
        <v>57669.577295965202</v>
      </c>
      <c r="F40" s="54">
        <f t="shared" si="1"/>
        <v>60069.55503892876</v>
      </c>
      <c r="G40" s="54">
        <f t="shared" si="1"/>
        <v>66515.602909906098</v>
      </c>
      <c r="H40">
        <v>100000</v>
      </c>
      <c r="I40" t="s">
        <v>105</v>
      </c>
      <c r="J40" s="168">
        <f>1-(H40/C40)^(1/(H$37-C$37))</f>
        <v>-2.059590957958668E-2</v>
      </c>
      <c r="K40" s="44"/>
    </row>
    <row r="41" spans="1:11" x14ac:dyDescent="0.5">
      <c r="B41" s="3" t="s">
        <v>260</v>
      </c>
      <c r="C41">
        <f>C7</f>
        <v>60</v>
      </c>
      <c r="D41" s="54">
        <f t="shared" ref="D41:D42" si="2">$C41*(1-$J41)^(D$23-$C$23)</f>
        <v>62.065452390603504</v>
      </c>
      <c r="E41" s="30">
        <f t="shared" si="1"/>
        <v>63.661069646174781</v>
      </c>
      <c r="F41" s="54">
        <f t="shared" si="1"/>
        <v>64.747539447550821</v>
      </c>
      <c r="G41" s="54">
        <f t="shared" si="1"/>
        <v>67.545529808251928</v>
      </c>
      <c r="H41">
        <v>80</v>
      </c>
      <c r="I41" t="s">
        <v>64</v>
      </c>
      <c r="J41" s="168">
        <f t="shared" si="0"/>
        <v>-8.4971348686027071E-3</v>
      </c>
      <c r="K41" s="44"/>
    </row>
    <row r="42" spans="1:11" ht="14.7" thickBot="1" x14ac:dyDescent="0.55000000000000004">
      <c r="B42" s="5" t="s">
        <v>65</v>
      </c>
      <c r="C42" s="33">
        <f>C8</f>
        <v>80</v>
      </c>
      <c r="D42" s="55">
        <f t="shared" si="2"/>
        <v>80</v>
      </c>
      <c r="E42" s="31">
        <f t="shared" si="1"/>
        <v>80</v>
      </c>
      <c r="F42" s="55">
        <f t="shared" si="1"/>
        <v>80</v>
      </c>
      <c r="G42" s="55">
        <f t="shared" si="1"/>
        <v>80</v>
      </c>
      <c r="H42" s="33">
        <v>80</v>
      </c>
      <c r="I42" s="6" t="s">
        <v>66</v>
      </c>
      <c r="J42" s="169">
        <f t="shared" si="0"/>
        <v>0</v>
      </c>
      <c r="K42" s="166"/>
    </row>
    <row r="43" spans="1:11" ht="14.7" thickBot="1" x14ac:dyDescent="0.55000000000000004">
      <c r="B43" s="3"/>
      <c r="C43" s="32"/>
      <c r="D43" s="32"/>
      <c r="E43" s="32"/>
      <c r="F43" s="32"/>
      <c r="G43" s="32"/>
      <c r="H43" s="32"/>
      <c r="J43" s="44"/>
      <c r="K43" s="44"/>
    </row>
    <row r="44" spans="1:11" x14ac:dyDescent="0.5">
      <c r="A44" s="3" t="s">
        <v>327</v>
      </c>
      <c r="B44" s="4"/>
      <c r="C44" s="4">
        <v>2016</v>
      </c>
      <c r="D44" s="29">
        <v>2020</v>
      </c>
      <c r="E44" s="4">
        <v>2021</v>
      </c>
      <c r="F44" s="29">
        <v>2025</v>
      </c>
      <c r="G44" s="29">
        <v>2030</v>
      </c>
      <c r="H44" s="4">
        <v>2050</v>
      </c>
      <c r="I44" s="4" t="s">
        <v>59</v>
      </c>
      <c r="J44" s="170"/>
      <c r="K44" s="167"/>
    </row>
    <row r="45" spans="1:11" x14ac:dyDescent="0.5">
      <c r="B45" s="3" t="s">
        <v>267</v>
      </c>
      <c r="C45" s="32">
        <f>C4</f>
        <v>21</v>
      </c>
      <c r="D45" s="63">
        <f>C45*(1-J45)^(D44-C44)</f>
        <v>56.274268202673518</v>
      </c>
      <c r="E45" s="208">
        <v>72</v>
      </c>
      <c r="F45" s="54">
        <v>72</v>
      </c>
      <c r="G45" s="208">
        <v>72</v>
      </c>
      <c r="H45" s="38"/>
      <c r="I45" t="s">
        <v>268</v>
      </c>
      <c r="J45" s="168">
        <f>1-(E45/C45)^(1/(E44-C44))</f>
        <v>-0.27944800171705086</v>
      </c>
      <c r="K45" s="44"/>
    </row>
    <row r="46" spans="1:11" x14ac:dyDescent="0.5">
      <c r="B46" s="3" t="s">
        <v>269</v>
      </c>
      <c r="C46" s="32">
        <f>C5</f>
        <v>840</v>
      </c>
      <c r="D46" s="54">
        <f>C46*(1-J46)^(D44-C44)</f>
        <v>1051.3315243697753</v>
      </c>
      <c r="E46" s="208">
        <v>1112</v>
      </c>
      <c r="F46" s="54">
        <v>1112</v>
      </c>
      <c r="G46" s="208">
        <v>1112</v>
      </c>
      <c r="H46" s="38"/>
      <c r="I46" t="s">
        <v>61</v>
      </c>
      <c r="J46" s="168">
        <f>1-(E46/C46)^(1/(E44-C44))</f>
        <v>-5.7706322148565414E-2</v>
      </c>
      <c r="K46" s="44"/>
    </row>
    <row r="47" spans="1:11" x14ac:dyDescent="0.5">
      <c r="B47" s="3" t="s">
        <v>259</v>
      </c>
      <c r="C47">
        <f>C6</f>
        <v>50000</v>
      </c>
      <c r="D47" s="63"/>
      <c r="E47" s="206" t="s">
        <v>328</v>
      </c>
      <c r="F47" s="213"/>
      <c r="G47" s="206" t="s">
        <v>328</v>
      </c>
      <c r="H47" s="40"/>
      <c r="I47" t="s">
        <v>105</v>
      </c>
      <c r="J47" s="168">
        <f>1-(H47/C47)^(1/(H$37-C$37))</f>
        <v>1</v>
      </c>
      <c r="K47" s="44"/>
    </row>
    <row r="48" spans="1:11" x14ac:dyDescent="0.5">
      <c r="B48" s="3" t="s">
        <v>260</v>
      </c>
      <c r="C48">
        <f>C7</f>
        <v>60</v>
      </c>
      <c r="D48" s="63"/>
      <c r="E48" s="208">
        <v>60</v>
      </c>
      <c r="F48" s="63"/>
      <c r="G48" s="208">
        <v>60</v>
      </c>
      <c r="H48" s="40"/>
      <c r="I48" t="s">
        <v>64</v>
      </c>
      <c r="J48" s="168">
        <f t="shared" ref="J48" si="3">1-(H48/C48)^(1/(H$37-C$37))</f>
        <v>1</v>
      </c>
      <c r="K48" s="44"/>
    </row>
    <row r="49" spans="2:11" x14ac:dyDescent="0.5">
      <c r="B49" s="3" t="s">
        <v>65</v>
      </c>
      <c r="C49" s="32">
        <f>C8</f>
        <v>80</v>
      </c>
      <c r="D49" s="63"/>
      <c r="E49" s="208">
        <v>80</v>
      </c>
      <c r="F49" s="39"/>
      <c r="G49" s="208">
        <v>80</v>
      </c>
      <c r="H49" s="39"/>
      <c r="I49" s="115" t="s">
        <v>66</v>
      </c>
      <c r="J49" s="44">
        <f t="shared" ref="J49" si="4">1-(H49/C49)^(1/(H$37-C$37))</f>
        <v>1</v>
      </c>
      <c r="K49" s="44"/>
    </row>
    <row r="50" spans="2:11" ht="14.7" thickBot="1" x14ac:dyDescent="0.55000000000000004">
      <c r="B50" s="5" t="s">
        <v>51</v>
      </c>
      <c r="C50" s="41"/>
      <c r="D50" s="255" t="s">
        <v>329</v>
      </c>
      <c r="E50" s="41"/>
      <c r="F50" s="41"/>
      <c r="G50" s="41"/>
      <c r="H50" s="41"/>
      <c r="I50" s="6" t="s">
        <v>74</v>
      </c>
      <c r="J50" s="169"/>
      <c r="K50" s="166"/>
    </row>
  </sheetData>
  <hyperlinks>
    <hyperlink ref="E16" r:id="rId1" xr:uid="{00000000-0004-0000-0800-000000000000}"/>
    <hyperlink ref="E18" r:id="rId2" xr:uid="{00000000-0004-0000-0800-000002000000}"/>
    <hyperlink ref="E19" r:id="rId3" xr:uid="{2F6F5CC3-4042-4891-8EE5-082E67BA0779}"/>
  </hyperlinks>
  <pageMargins left="0.7" right="0.7" top="0.75" bottom="0.75" header="0.3" footer="0.3"/>
  <pageSetup paperSize="9" orientation="portrait"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9"/>
  <dimension ref="B3:L18"/>
  <sheetViews>
    <sheetView workbookViewId="0">
      <selection activeCell="L17" sqref="L17"/>
    </sheetView>
  </sheetViews>
  <sheetFormatPr defaultColWidth="11.46875" defaultRowHeight="14.35" x14ac:dyDescent="0.5"/>
  <cols>
    <col min="2" max="2" width="27.64453125" bestFit="1" customWidth="1"/>
    <col min="12" max="12" width="20.17578125" bestFit="1" customWidth="1"/>
  </cols>
  <sheetData>
    <row r="3" spans="2:12" x14ac:dyDescent="0.5">
      <c r="C3" s="425">
        <v>2016</v>
      </c>
      <c r="D3" s="425"/>
      <c r="E3" s="425"/>
      <c r="F3" s="426">
        <v>2025</v>
      </c>
      <c r="G3" s="426"/>
      <c r="H3" s="426"/>
      <c r="I3" s="426">
        <v>2030</v>
      </c>
      <c r="J3" s="426"/>
      <c r="K3" s="426"/>
      <c r="L3" s="105"/>
    </row>
    <row r="4" spans="2:12" ht="18.350000000000001" thickBot="1" x14ac:dyDescent="0.65">
      <c r="B4" s="104" t="s">
        <v>330</v>
      </c>
      <c r="C4" s="106" t="s">
        <v>56</v>
      </c>
      <c r="D4" s="106" t="s">
        <v>57</v>
      </c>
      <c r="E4" s="106" t="s">
        <v>58</v>
      </c>
      <c r="F4" s="106" t="s">
        <v>56</v>
      </c>
      <c r="G4" s="106" t="s">
        <v>57</v>
      </c>
      <c r="H4" s="106" t="s">
        <v>58</v>
      </c>
      <c r="I4" s="106" t="s">
        <v>56</v>
      </c>
      <c r="J4" s="106" t="s">
        <v>57</v>
      </c>
      <c r="K4" s="106" t="s">
        <v>58</v>
      </c>
      <c r="L4" s="106" t="s">
        <v>59</v>
      </c>
    </row>
    <row r="5" spans="2:12" x14ac:dyDescent="0.5">
      <c r="B5" s="18" t="s">
        <v>255</v>
      </c>
      <c r="C5" s="148">
        <f>'Overview 2016 (in)'!D6</f>
        <v>2</v>
      </c>
      <c r="D5" s="149">
        <f>'Overview 2016 (in)'!E6</f>
        <v>0.2</v>
      </c>
      <c r="E5" s="150">
        <f>'Overview 2016 (in)'!F6</f>
        <v>1</v>
      </c>
      <c r="F5" s="148">
        <f t="shared" ref="F5:F15" si="0">IFERROR(C5*H5/E5,0)</f>
        <v>2</v>
      </c>
      <c r="G5" s="149">
        <f t="shared" ref="G5:G15" si="1">IFERROR(D5*H5/E5, 0)</f>
        <v>0.2</v>
      </c>
      <c r="H5" s="150">
        <f>E5</f>
        <v>1</v>
      </c>
      <c r="I5" s="148">
        <f>IFERROR(F5*K5/H5,0)</f>
        <v>2</v>
      </c>
      <c r="J5" s="149">
        <f>IFERROR(G5*K5/H5, 0)</f>
        <v>0.2</v>
      </c>
      <c r="K5" s="150">
        <f>H5</f>
        <v>1</v>
      </c>
      <c r="L5" s="21" t="s">
        <v>256</v>
      </c>
    </row>
    <row r="6" spans="2:12" x14ac:dyDescent="0.5">
      <c r="B6" s="3" t="s">
        <v>257</v>
      </c>
      <c r="C6" s="151">
        <f>'Overview 2016 (in)'!D7</f>
        <v>0.2</v>
      </c>
      <c r="D6" s="152">
        <f>'Overview 2016 (in)'!E7</f>
        <v>0.1</v>
      </c>
      <c r="E6" s="153">
        <f>'Overview 2016 (in)'!F7</f>
        <v>0.15</v>
      </c>
      <c r="F6" s="151">
        <f t="shared" si="0"/>
        <v>0.2</v>
      </c>
      <c r="G6" s="152">
        <f t="shared" si="1"/>
        <v>0.1</v>
      </c>
      <c r="H6" s="153">
        <f>E6</f>
        <v>0.15</v>
      </c>
      <c r="I6" s="151">
        <f t="shared" ref="I6:I15" si="2">IFERROR(F6*K6/H6,0)</f>
        <v>0.2</v>
      </c>
      <c r="J6" s="152">
        <f t="shared" ref="J6:J13" si="3">IFERROR(G6*K6/H6, 0)</f>
        <v>0.1</v>
      </c>
      <c r="K6" s="153">
        <f>H6</f>
        <v>0.15</v>
      </c>
      <c r="L6" s="22" t="s">
        <v>258</v>
      </c>
    </row>
    <row r="7" spans="2:12" x14ac:dyDescent="0.5">
      <c r="B7" s="18" t="s">
        <v>259</v>
      </c>
      <c r="C7" s="148">
        <f>'Overview 2016 (in)'!D8</f>
        <v>100000</v>
      </c>
      <c r="D7" s="149">
        <f>'Overview 2016 (in)'!E8</f>
        <v>12000</v>
      </c>
      <c r="E7" s="141">
        <f>'Overview 2016 (in)'!F8</f>
        <v>50000</v>
      </c>
      <c r="F7" s="148">
        <f t="shared" ca="1" si="0"/>
        <v>100000</v>
      </c>
      <c r="G7" s="149">
        <f t="shared" ca="1" si="1"/>
        <v>12000</v>
      </c>
      <c r="H7" s="141">
        <f ca="1">INDIRECT(ADDRESS(ROW($B6),COLUMN(E$4),1,,$B$4))</f>
        <v>50000</v>
      </c>
      <c r="I7" s="148">
        <f ca="1">IFERROR(F7*K7/H7,0)</f>
        <v>100000</v>
      </c>
      <c r="J7" s="149">
        <f ca="1">IFERROR(G7*K7/H7, 0)</f>
        <v>12000</v>
      </c>
      <c r="K7" s="141">
        <f ca="1">INDIRECT(ADDRESS(ROW($B6),COLUMN($F4),1,,$B$4))</f>
        <v>50000</v>
      </c>
      <c r="L7" s="21" t="s">
        <v>105</v>
      </c>
    </row>
    <row r="8" spans="2:12" x14ac:dyDescent="0.5">
      <c r="B8" s="3" t="s">
        <v>260</v>
      </c>
      <c r="C8" s="151">
        <f>'Overview 2016 (in)'!D9</f>
        <v>100</v>
      </c>
      <c r="D8" s="152">
        <f>'Overview 2016 (in)'!E9</f>
        <v>30</v>
      </c>
      <c r="E8" s="142">
        <f>'Overview 2016 (in)'!F9</f>
        <v>60</v>
      </c>
      <c r="F8" s="151">
        <f t="shared" ca="1" si="0"/>
        <v>100</v>
      </c>
      <c r="G8" s="152">
        <f t="shared" ca="1" si="1"/>
        <v>30</v>
      </c>
      <c r="H8" s="142">
        <f ca="1">INDIRECT(ADDRESS(ROW($B7),COLUMN(E$4),1,,$B$4))</f>
        <v>60</v>
      </c>
      <c r="I8" s="151">
        <f ca="1">IFERROR(F8*K8/H8,0)</f>
        <v>100</v>
      </c>
      <c r="J8" s="152">
        <f ca="1">IFERROR(G8*K8/H8, 0)</f>
        <v>30</v>
      </c>
      <c r="K8" s="142">
        <f ca="1">INDIRECT(ADDRESS(ROW($B7),COLUMN($F4),1,,$B$4))</f>
        <v>60</v>
      </c>
      <c r="L8" s="22" t="s">
        <v>64</v>
      </c>
    </row>
    <row r="9" spans="2:12" x14ac:dyDescent="0.5">
      <c r="B9" s="18" t="s">
        <v>81</v>
      </c>
      <c r="C9" s="148">
        <f>'Overview 2016 (in)'!D10</f>
        <v>100</v>
      </c>
      <c r="D9" s="149">
        <f>'Overview 2016 (in)'!E10</f>
        <v>80</v>
      </c>
      <c r="E9" s="150">
        <f>'Overview 2016 (in)'!F10</f>
        <v>90</v>
      </c>
      <c r="F9" s="148">
        <f t="shared" si="0"/>
        <v>100</v>
      </c>
      <c r="G9" s="149">
        <f t="shared" si="1"/>
        <v>80</v>
      </c>
      <c r="H9" s="150">
        <f>E9</f>
        <v>90</v>
      </c>
      <c r="I9" s="148">
        <f t="shared" si="2"/>
        <v>100</v>
      </c>
      <c r="J9" s="149">
        <f t="shared" si="3"/>
        <v>80</v>
      </c>
      <c r="K9" s="150">
        <f>H9</f>
        <v>90</v>
      </c>
      <c r="L9" s="21" t="s">
        <v>66</v>
      </c>
    </row>
    <row r="10" spans="2:12" x14ac:dyDescent="0.5">
      <c r="B10" s="3" t="s">
        <v>65</v>
      </c>
      <c r="C10" s="151">
        <f>'Overview 2016 (in)'!D11</f>
        <v>92</v>
      </c>
      <c r="D10" s="152">
        <f>'Overview 2016 (in)'!E11</f>
        <v>70</v>
      </c>
      <c r="E10" s="142">
        <f>'Overview 2016 (in)'!F11</f>
        <v>80</v>
      </c>
      <c r="F10" s="151">
        <f t="shared" ca="1" si="0"/>
        <v>92</v>
      </c>
      <c r="G10" s="152">
        <f t="shared" ca="1" si="1"/>
        <v>70</v>
      </c>
      <c r="H10" s="142">
        <f ca="1">INDIRECT(ADDRESS(ROW($B8),COLUMN(E$4),1,,$B$4))</f>
        <v>80</v>
      </c>
      <c r="I10" s="151">
        <f ca="1">IFERROR(F10*K10/H10,0)</f>
        <v>92</v>
      </c>
      <c r="J10" s="152">
        <f ca="1">IFERROR(G10*K10/H10, 0)</f>
        <v>70</v>
      </c>
      <c r="K10" s="142">
        <f ca="1">INDIRECT(ADDRESS(ROW($B8),COLUMN($F4),1,,$B$4))</f>
        <v>80</v>
      </c>
      <c r="L10" s="22" t="s">
        <v>66</v>
      </c>
    </row>
    <row r="11" spans="2:12" x14ac:dyDescent="0.5">
      <c r="B11" s="18" t="s">
        <v>137</v>
      </c>
      <c r="C11" s="148">
        <f>'Overview 2016 (in)'!D12</f>
        <v>0</v>
      </c>
      <c r="D11" s="149">
        <f>'Overview 2016 (in)'!E12</f>
        <v>0.02</v>
      </c>
      <c r="E11" s="150">
        <f>'Overview 2016 (in)'!F12</f>
        <v>0.01</v>
      </c>
      <c r="F11" s="148">
        <f t="shared" si="0"/>
        <v>0</v>
      </c>
      <c r="G11" s="149">
        <f t="shared" si="1"/>
        <v>0.02</v>
      </c>
      <c r="H11" s="150">
        <f>E11</f>
        <v>0.01</v>
      </c>
      <c r="I11" s="148">
        <f t="shared" si="2"/>
        <v>0</v>
      </c>
      <c r="J11" s="149">
        <f t="shared" si="3"/>
        <v>0.02</v>
      </c>
      <c r="K11" s="150">
        <f>H11</f>
        <v>0.01</v>
      </c>
      <c r="L11" s="21" t="s">
        <v>261</v>
      </c>
    </row>
    <row r="12" spans="2:12" x14ac:dyDescent="0.5">
      <c r="B12" s="28" t="s">
        <v>262</v>
      </c>
      <c r="C12" s="151">
        <f>'Overview 2016 (in)'!D13</f>
        <v>15</v>
      </c>
      <c r="D12" s="152">
        <f>'Overview 2016 (in)'!E13</f>
        <v>500</v>
      </c>
      <c r="E12" s="153">
        <f>'Overview 2016 (in)'!F13</f>
        <v>30</v>
      </c>
      <c r="F12" s="151">
        <f t="shared" si="0"/>
        <v>15</v>
      </c>
      <c r="G12" s="152">
        <f t="shared" si="1"/>
        <v>500</v>
      </c>
      <c r="H12" s="153">
        <f>E12</f>
        <v>30</v>
      </c>
      <c r="I12" s="151">
        <f t="shared" si="2"/>
        <v>15</v>
      </c>
      <c r="J12" s="152">
        <f t="shared" si="3"/>
        <v>500</v>
      </c>
      <c r="K12" s="153">
        <f>H12</f>
        <v>30</v>
      </c>
      <c r="L12" s="88" t="s">
        <v>265</v>
      </c>
    </row>
    <row r="13" spans="2:12" x14ac:dyDescent="0.5">
      <c r="B13" s="89" t="s">
        <v>266</v>
      </c>
      <c r="C13" s="154">
        <f>'Overview 2016 (in)'!D14</f>
        <v>5</v>
      </c>
      <c r="D13" s="149">
        <f>'Overview 2016 (in)'!E14</f>
        <v>25</v>
      </c>
      <c r="E13" s="150">
        <f>'Overview 2016 (in)'!F14</f>
        <v>15</v>
      </c>
      <c r="F13" s="154">
        <f t="shared" si="0"/>
        <v>5</v>
      </c>
      <c r="G13" s="149">
        <f t="shared" si="1"/>
        <v>25</v>
      </c>
      <c r="H13" s="150">
        <f>E13</f>
        <v>15</v>
      </c>
      <c r="I13" s="154">
        <f t="shared" si="2"/>
        <v>5</v>
      </c>
      <c r="J13" s="149">
        <f t="shared" si="3"/>
        <v>25</v>
      </c>
      <c r="K13" s="150">
        <f>H13</f>
        <v>15</v>
      </c>
      <c r="L13" s="21" t="s">
        <v>64</v>
      </c>
    </row>
    <row r="14" spans="2:12" x14ac:dyDescent="0.5">
      <c r="B14" s="28" t="s">
        <v>267</v>
      </c>
      <c r="C14" s="151">
        <f>'Overview 2016 (in)'!D15</f>
        <v>5.25</v>
      </c>
      <c r="D14" s="152">
        <f>'Overview 2016 (in)'!E15</f>
        <v>100</v>
      </c>
      <c r="E14" s="143">
        <f>'Overview 2016 (in)'!F15</f>
        <v>21</v>
      </c>
      <c r="F14" s="151">
        <f t="shared" ca="1" si="0"/>
        <v>18</v>
      </c>
      <c r="G14" s="152">
        <f t="shared" ca="1" si="1"/>
        <v>342.85714285714283</v>
      </c>
      <c r="H14" s="143">
        <f ca="1">IF(CELL("format",INDIRECT(ADDRESS(ROW($B4),COLUMN(E$4),1,,$B$4)))="W0-",INDIRECT(ADDRESS(ROW($B4),COLUMN(E$4),1,,$B$4))*'Overview 2016 (in)'!$O$7,INDIRECT(ADDRESS(ROW($B4),COLUMN(E$4),1,,$B$4)))</f>
        <v>72</v>
      </c>
      <c r="I14" s="151">
        <f t="shared" ca="1" si="2"/>
        <v>18</v>
      </c>
      <c r="J14" s="152">
        <f t="shared" ref="J14:J15" ca="1" si="4">IFERROR(G14*K14/H14,0)</f>
        <v>342.85714285714283</v>
      </c>
      <c r="K14" s="143">
        <f ca="1">IF(CELL("format",INDIRECT(ADDRESS(ROW($B4),COLUMN($F4),1,,$B$4)))="W0-",INDIRECT(ADDRESS(ROW($B4),COLUMN($F4),1,,$B$4))*'Overview 2016 (in)'!$O$7,INDIRECT(ADDRESS(ROW($B4),COLUMN($F4),1,,$B$4)))</f>
        <v>72</v>
      </c>
      <c r="L14" s="88" t="s">
        <v>268</v>
      </c>
    </row>
    <row r="15" spans="2:12" x14ac:dyDescent="0.5">
      <c r="B15" s="89" t="s">
        <v>269</v>
      </c>
      <c r="C15" s="149">
        <f>'Overview 2016 (in)'!D16</f>
        <v>525</v>
      </c>
      <c r="D15" s="149">
        <f>'Overview 2016 (in)'!E16</f>
        <v>2000</v>
      </c>
      <c r="E15" s="141">
        <f>'Overview 2016 (in)'!F16</f>
        <v>840</v>
      </c>
      <c r="F15" s="149">
        <f t="shared" ca="1" si="0"/>
        <v>695</v>
      </c>
      <c r="G15" s="149">
        <f t="shared" ca="1" si="1"/>
        <v>2647.6190476190477</v>
      </c>
      <c r="H15" s="141">
        <f ca="1">IF(CELL("format",INDIRECT(ADDRESS(ROW($B5),COLUMN(E$4),1,,$B$4)))="W0-",INDIRECT(ADDRESS(ROW($B5),COLUMN(E$4),1,,$B$4))*'Overview 2016 (in)'!$O$7,INDIRECT(ADDRESS(ROW($B5),COLUMN(E$4),1,,$B$4)))</f>
        <v>1112</v>
      </c>
      <c r="I15" s="149">
        <f t="shared" ca="1" si="2"/>
        <v>695</v>
      </c>
      <c r="J15" s="149">
        <f t="shared" ca="1" si="4"/>
        <v>2647.6190476190477</v>
      </c>
      <c r="K15" s="141">
        <f ca="1">IF(CELL("format",INDIRECT(ADDRESS(ROW($B5),COLUMN($F4),1,,$B$4)))="W0-",INDIRECT(ADDRESS(ROW($B5),COLUMN($F4),1,,$B$4))*'Overview 2016 (in)'!$O$7,INDIRECT(ADDRESS(ROW($B5),COLUMN($F4),1,,$B$4)))</f>
        <v>1112</v>
      </c>
      <c r="L15" s="21" t="s">
        <v>61</v>
      </c>
    </row>
    <row r="16" spans="2:12" ht="14.7" thickBot="1" x14ac:dyDescent="0.55000000000000004">
      <c r="B16" s="245" t="s">
        <v>51</v>
      </c>
      <c r="C16" s="251">
        <f>'Pumped Hydro (calc)'!C9</f>
        <v>4</v>
      </c>
      <c r="D16" s="251">
        <f>'Pumped Hydro (calc)'!C10</f>
        <v>10</v>
      </c>
      <c r="E16" s="252">
        <f>AVERAGE(C16:D16)</f>
        <v>7</v>
      </c>
      <c r="F16" s="251">
        <f>C16</f>
        <v>4</v>
      </c>
      <c r="G16" s="251">
        <f t="shared" ref="G16:H16" si="5">D16</f>
        <v>10</v>
      </c>
      <c r="H16" s="252">
        <f t="shared" si="5"/>
        <v>7</v>
      </c>
      <c r="I16" s="251">
        <f>F16</f>
        <v>4</v>
      </c>
      <c r="J16" s="251">
        <f t="shared" ref="J16" si="6">G16</f>
        <v>10</v>
      </c>
      <c r="K16" s="252">
        <f t="shared" ref="K16" si="7">H16</f>
        <v>7</v>
      </c>
      <c r="L16" s="135" t="s">
        <v>74</v>
      </c>
    </row>
    <row r="17" spans="2:3" x14ac:dyDescent="0.5">
      <c r="C17" s="111"/>
    </row>
    <row r="18" spans="2:3" ht="18" x14ac:dyDescent="0.6">
      <c r="B18" s="1"/>
    </row>
  </sheetData>
  <mergeCells count="3">
    <mergeCell ref="C3:E3"/>
    <mergeCell ref="F3:H3"/>
    <mergeCell ref="I3:K3"/>
  </mergeCells>
  <pageMargins left="0.7" right="0.7" top="0.78740157499999996" bottom="0.78740157499999996"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0"/>
  <dimension ref="A2:L61"/>
  <sheetViews>
    <sheetView workbookViewId="0">
      <selection activeCell="I62" sqref="I62"/>
    </sheetView>
  </sheetViews>
  <sheetFormatPr defaultColWidth="9.17578125" defaultRowHeight="14.35" x14ac:dyDescent="0.5"/>
  <cols>
    <col min="2" max="2" width="26.52734375" customWidth="1"/>
    <col min="3" max="7" width="10.64453125" customWidth="1"/>
    <col min="8" max="8" width="13.8203125" customWidth="1"/>
    <col min="9" max="12" width="12.64453125" customWidth="1"/>
  </cols>
  <sheetData>
    <row r="2" spans="2:12" ht="18.350000000000001" thickBot="1" x14ac:dyDescent="0.65">
      <c r="B2" s="1" t="s">
        <v>151</v>
      </c>
      <c r="C2" s="9"/>
      <c r="I2" s="1" t="s">
        <v>286</v>
      </c>
    </row>
    <row r="3" spans="2:12" x14ac:dyDescent="0.5">
      <c r="B3" s="4"/>
      <c r="C3" s="4">
        <v>2016</v>
      </c>
      <c r="D3" s="4">
        <v>2020</v>
      </c>
      <c r="E3" s="4">
        <v>2025</v>
      </c>
      <c r="F3" s="4">
        <v>2030</v>
      </c>
      <c r="G3" s="4" t="s">
        <v>59</v>
      </c>
      <c r="H3" s="3"/>
      <c r="I3" s="4" t="s">
        <v>287</v>
      </c>
      <c r="J3" s="4" t="s">
        <v>288</v>
      </c>
      <c r="K3" s="4" t="s">
        <v>289</v>
      </c>
      <c r="L3" s="4" t="s">
        <v>290</v>
      </c>
    </row>
    <row r="4" spans="2:12" x14ac:dyDescent="0.5">
      <c r="B4" s="3" t="s">
        <v>267</v>
      </c>
      <c r="C4" s="79">
        <f>'Overview 2016 (in)'!I15</f>
        <v>52.5</v>
      </c>
      <c r="D4">
        <v>53</v>
      </c>
      <c r="E4">
        <v>51</v>
      </c>
      <c r="F4">
        <v>49</v>
      </c>
      <c r="G4" t="s">
        <v>268</v>
      </c>
      <c r="I4">
        <v>2016</v>
      </c>
      <c r="J4">
        <v>2016</v>
      </c>
      <c r="K4">
        <v>4</v>
      </c>
      <c r="L4">
        <v>4</v>
      </c>
    </row>
    <row r="5" spans="2:12" x14ac:dyDescent="0.5">
      <c r="B5" s="3" t="s">
        <v>269</v>
      </c>
      <c r="C5" s="203">
        <f>'Overview 2016 (in)'!I16</f>
        <v>735</v>
      </c>
      <c r="D5" s="203">
        <v>735</v>
      </c>
      <c r="E5" s="203">
        <v>735</v>
      </c>
      <c r="F5" s="203">
        <v>735</v>
      </c>
      <c r="G5" t="s">
        <v>61</v>
      </c>
      <c r="I5">
        <v>2016</v>
      </c>
      <c r="J5">
        <v>1</v>
      </c>
      <c r="K5">
        <v>4</v>
      </c>
      <c r="L5">
        <v>4</v>
      </c>
    </row>
    <row r="6" spans="2:12" x14ac:dyDescent="0.5">
      <c r="B6" s="3" t="s">
        <v>259</v>
      </c>
      <c r="C6">
        <f>'Overview 2016 (in)'!I8</f>
        <v>50000</v>
      </c>
      <c r="D6">
        <v>75000</v>
      </c>
      <c r="E6">
        <v>100000</v>
      </c>
      <c r="F6">
        <v>100000</v>
      </c>
      <c r="G6" t="s">
        <v>105</v>
      </c>
      <c r="I6">
        <v>2016</v>
      </c>
      <c r="J6">
        <v>2</v>
      </c>
      <c r="K6">
        <v>4</v>
      </c>
      <c r="L6">
        <v>4</v>
      </c>
    </row>
    <row r="7" spans="2:12" x14ac:dyDescent="0.5">
      <c r="B7" s="3" t="s">
        <v>260</v>
      </c>
      <c r="C7">
        <f>'Overview 2016 (in)'!I9</f>
        <v>50</v>
      </c>
      <c r="D7">
        <v>50</v>
      </c>
      <c r="E7">
        <v>60</v>
      </c>
      <c r="F7">
        <v>60</v>
      </c>
      <c r="G7" t="s">
        <v>64</v>
      </c>
      <c r="I7">
        <v>2016</v>
      </c>
      <c r="J7">
        <v>2016</v>
      </c>
      <c r="K7">
        <v>4</v>
      </c>
      <c r="L7">
        <v>4</v>
      </c>
    </row>
    <row r="8" spans="2:12" x14ac:dyDescent="0.5">
      <c r="B8" s="3" t="s">
        <v>65</v>
      </c>
      <c r="C8">
        <f>'Overview 2016 (in)'!I11</f>
        <v>60</v>
      </c>
      <c r="D8">
        <v>64</v>
      </c>
      <c r="E8">
        <v>70</v>
      </c>
      <c r="F8">
        <v>70</v>
      </c>
      <c r="G8" t="s">
        <v>66</v>
      </c>
      <c r="I8">
        <v>2016</v>
      </c>
      <c r="J8">
        <v>2</v>
      </c>
      <c r="K8">
        <v>3</v>
      </c>
      <c r="L8">
        <v>3</v>
      </c>
    </row>
    <row r="9" spans="2:12" x14ac:dyDescent="0.5">
      <c r="B9" s="3" t="s">
        <v>331</v>
      </c>
      <c r="C9">
        <v>4</v>
      </c>
      <c r="D9">
        <v>4</v>
      </c>
      <c r="E9">
        <v>4</v>
      </c>
      <c r="F9">
        <v>4</v>
      </c>
      <c r="G9" t="s">
        <v>74</v>
      </c>
      <c r="I9" s="35" t="s">
        <v>332</v>
      </c>
      <c r="J9" s="35" t="s">
        <v>332</v>
      </c>
      <c r="K9" s="35" t="s">
        <v>332</v>
      </c>
      <c r="L9" s="35" t="s">
        <v>332</v>
      </c>
    </row>
    <row r="10" spans="2:12" x14ac:dyDescent="0.5">
      <c r="B10" s="3" t="s">
        <v>333</v>
      </c>
      <c r="C10">
        <v>6</v>
      </c>
      <c r="D10">
        <v>6</v>
      </c>
      <c r="E10">
        <v>6</v>
      </c>
      <c r="F10">
        <v>6</v>
      </c>
      <c r="G10" t="s">
        <v>74</v>
      </c>
      <c r="I10" s="35">
        <v>3</v>
      </c>
      <c r="J10" s="35">
        <v>3</v>
      </c>
      <c r="K10" s="35">
        <v>3</v>
      </c>
      <c r="L10" s="35">
        <v>3</v>
      </c>
    </row>
    <row r="11" spans="2:12" ht="14.7" thickBot="1" x14ac:dyDescent="0.55000000000000004">
      <c r="B11" s="5" t="s">
        <v>334</v>
      </c>
      <c r="C11" s="6">
        <v>10</v>
      </c>
      <c r="D11" s="6">
        <v>10</v>
      </c>
      <c r="E11" s="6">
        <v>10</v>
      </c>
      <c r="F11" s="6">
        <v>10</v>
      </c>
      <c r="G11" s="6" t="s">
        <v>74</v>
      </c>
      <c r="I11" s="6">
        <v>5</v>
      </c>
      <c r="J11" s="6">
        <v>5</v>
      </c>
      <c r="K11" s="6">
        <v>5</v>
      </c>
      <c r="L11" s="6">
        <v>5</v>
      </c>
    </row>
    <row r="12" spans="2:12" x14ac:dyDescent="0.5">
      <c r="B12" s="3"/>
      <c r="C12" s="10"/>
    </row>
    <row r="13" spans="2:12" x14ac:dyDescent="0.5">
      <c r="K13" s="2" t="s">
        <v>294</v>
      </c>
    </row>
    <row r="14" spans="2:12" ht="18.350000000000001" thickBot="1" x14ac:dyDescent="0.65">
      <c r="B14" s="1" t="s">
        <v>295</v>
      </c>
      <c r="K14" s="11" t="s">
        <v>296</v>
      </c>
    </row>
    <row r="15" spans="2:12" x14ac:dyDescent="0.5">
      <c r="B15" s="7" t="s">
        <v>297</v>
      </c>
      <c r="C15" s="7" t="s">
        <v>298</v>
      </c>
      <c r="D15" s="7" t="s">
        <v>299</v>
      </c>
      <c r="E15" s="7" t="s">
        <v>300</v>
      </c>
      <c r="F15" s="46" t="s">
        <v>301</v>
      </c>
      <c r="G15" s="8"/>
      <c r="K15" s="40" t="s">
        <v>302</v>
      </c>
      <c r="L15" s="40"/>
    </row>
    <row r="16" spans="2:12" x14ac:dyDescent="0.5">
      <c r="B16">
        <v>1</v>
      </c>
      <c r="C16" t="s">
        <v>303</v>
      </c>
      <c r="D16" t="s">
        <v>304</v>
      </c>
      <c r="E16" s="164" t="s">
        <v>305</v>
      </c>
      <c r="F16" s="80" t="s">
        <v>306</v>
      </c>
    </row>
    <row r="17" spans="1:11" x14ac:dyDescent="0.5">
      <c r="B17">
        <v>2</v>
      </c>
      <c r="C17" t="s">
        <v>311</v>
      </c>
      <c r="D17" t="s">
        <v>312</v>
      </c>
      <c r="E17" s="164" t="s">
        <v>313</v>
      </c>
      <c r="F17" s="80" t="s">
        <v>314</v>
      </c>
    </row>
    <row r="18" spans="1:11" x14ac:dyDescent="0.5">
      <c r="B18">
        <v>3</v>
      </c>
      <c r="C18" t="s">
        <v>335</v>
      </c>
      <c r="D18" t="s">
        <v>336</v>
      </c>
      <c r="E18" s="207" t="s">
        <v>337</v>
      </c>
      <c r="F18" s="45" t="s">
        <v>338</v>
      </c>
      <c r="H18" s="98"/>
    </row>
    <row r="19" spans="1:11" x14ac:dyDescent="0.5">
      <c r="B19">
        <v>4</v>
      </c>
      <c r="C19" t="s">
        <v>339</v>
      </c>
      <c r="D19" t="s">
        <v>340</v>
      </c>
      <c r="E19" s="164" t="s">
        <v>341</v>
      </c>
      <c r="F19" s="22" t="s">
        <v>342</v>
      </c>
      <c r="H19" s="98"/>
    </row>
    <row r="20" spans="1:11" x14ac:dyDescent="0.5">
      <c r="B20">
        <v>5</v>
      </c>
      <c r="C20" t="s">
        <v>315</v>
      </c>
      <c r="D20" t="s">
        <v>316</v>
      </c>
      <c r="E20" s="207" t="s">
        <v>317</v>
      </c>
      <c r="F20" s="45" t="s">
        <v>318</v>
      </c>
      <c r="H20" s="98"/>
    </row>
    <row r="21" spans="1:11" x14ac:dyDescent="0.5">
      <c r="H21" s="98"/>
    </row>
    <row r="23" spans="1:11" x14ac:dyDescent="0.5">
      <c r="A23" s="68" t="s">
        <v>319</v>
      </c>
    </row>
    <row r="24" spans="1:11" ht="14.7" thickBot="1" x14ac:dyDescent="0.55000000000000004">
      <c r="A24" s="68" t="s">
        <v>320</v>
      </c>
    </row>
    <row r="25" spans="1:11" x14ac:dyDescent="0.5">
      <c r="A25" s="3" t="s">
        <v>321</v>
      </c>
      <c r="B25" s="4"/>
      <c r="C25" s="4">
        <v>2016</v>
      </c>
      <c r="D25" s="29">
        <v>2020</v>
      </c>
      <c r="E25" s="4">
        <v>2023</v>
      </c>
      <c r="F25" s="29">
        <v>2025</v>
      </c>
      <c r="G25" s="29">
        <v>2030</v>
      </c>
      <c r="H25" s="4">
        <v>2033</v>
      </c>
      <c r="I25" s="4" t="s">
        <v>59</v>
      </c>
      <c r="J25" s="16" t="s">
        <v>322</v>
      </c>
      <c r="K25" s="4" t="s">
        <v>323</v>
      </c>
    </row>
    <row r="26" spans="1:11" x14ac:dyDescent="0.5">
      <c r="B26" s="3" t="s">
        <v>267</v>
      </c>
      <c r="C26" s="32">
        <f>C4</f>
        <v>52.5</v>
      </c>
      <c r="D26" s="62"/>
      <c r="E26" s="39"/>
      <c r="F26" s="62"/>
      <c r="G26" s="62"/>
      <c r="H26" s="38"/>
      <c r="I26" t="s">
        <v>268</v>
      </c>
      <c r="J26" s="168">
        <f>1-(G26/C26)^(1/(G$25-C$25))</f>
        <v>1</v>
      </c>
      <c r="K26" s="44"/>
    </row>
    <row r="27" spans="1:11" x14ac:dyDescent="0.5">
      <c r="B27" s="3" t="s">
        <v>269</v>
      </c>
      <c r="C27" s="32">
        <f>C5</f>
        <v>735</v>
      </c>
      <c r="D27" s="54">
        <f>$C27*(1-$J27)^(D$25-$C$25)</f>
        <v>778.72109612286931</v>
      </c>
      <c r="E27" s="39"/>
      <c r="F27" s="54">
        <f>$C27*(1-$J27)^(F$25-$C$25)</f>
        <v>837.04766957374045</v>
      </c>
      <c r="G27" s="58">
        <f>700*Financials!D5</f>
        <v>899.74293059125966</v>
      </c>
      <c r="H27" s="38"/>
      <c r="I27" t="s">
        <v>61</v>
      </c>
      <c r="J27" s="168">
        <f>1-(G27/C27)^(1/(G$25-C$25))</f>
        <v>-1.455045572098812E-2</v>
      </c>
      <c r="K27" s="44"/>
    </row>
    <row r="28" spans="1:11" x14ac:dyDescent="0.5">
      <c r="B28" s="3" t="s">
        <v>259</v>
      </c>
      <c r="C28" s="79">
        <f>C6</f>
        <v>50000</v>
      </c>
      <c r="D28" s="63"/>
      <c r="E28" s="39"/>
      <c r="F28" s="63"/>
      <c r="G28" s="68"/>
      <c r="H28" s="40"/>
      <c r="I28" t="s">
        <v>105</v>
      </c>
      <c r="J28" s="168">
        <f>1-(G28/C28)^(1/(G$25-C$25))</f>
        <v>1</v>
      </c>
      <c r="K28" s="44"/>
    </row>
    <row r="29" spans="1:11" x14ac:dyDescent="0.5">
      <c r="B29" s="3" t="s">
        <v>260</v>
      </c>
      <c r="C29" s="79">
        <f>C7</f>
        <v>50</v>
      </c>
      <c r="D29" s="63"/>
      <c r="E29" s="39"/>
      <c r="F29" s="63"/>
      <c r="G29" s="68"/>
      <c r="H29" s="40"/>
      <c r="I29" t="s">
        <v>64</v>
      </c>
      <c r="J29" s="168">
        <f>1-(G29/C29)^(1/(G$25-C$25))</f>
        <v>1</v>
      </c>
      <c r="K29" s="44"/>
    </row>
    <row r="30" spans="1:11" ht="14.7" thickBot="1" x14ac:dyDescent="0.55000000000000004">
      <c r="B30" s="5" t="s">
        <v>65</v>
      </c>
      <c r="C30" s="101">
        <f>C8</f>
        <v>60</v>
      </c>
      <c r="D30" s="67"/>
      <c r="E30" s="41"/>
      <c r="F30" s="67"/>
      <c r="G30" s="69"/>
      <c r="H30" s="42"/>
      <c r="I30" s="6" t="s">
        <v>66</v>
      </c>
      <c r="J30" s="169">
        <f>1-(G30/C30)^(1/(G$25-C$25))</f>
        <v>1</v>
      </c>
      <c r="K30" s="166"/>
    </row>
    <row r="31" spans="1:11" ht="14.7" thickBot="1" x14ac:dyDescent="0.55000000000000004">
      <c r="J31" s="168"/>
      <c r="K31" s="44"/>
    </row>
    <row r="32" spans="1:11" x14ac:dyDescent="0.5">
      <c r="A32" s="3" t="s">
        <v>325</v>
      </c>
      <c r="B32" s="4"/>
      <c r="C32" s="4">
        <v>2016</v>
      </c>
      <c r="D32" s="29">
        <v>2020</v>
      </c>
      <c r="E32" s="4">
        <v>2023</v>
      </c>
      <c r="F32" s="29">
        <v>2025</v>
      </c>
      <c r="G32" s="29">
        <v>2030</v>
      </c>
      <c r="H32" s="4">
        <v>2050</v>
      </c>
      <c r="I32" s="4" t="s">
        <v>59</v>
      </c>
      <c r="J32" s="170"/>
      <c r="K32" s="167"/>
    </row>
    <row r="33" spans="1:11" x14ac:dyDescent="0.5">
      <c r="B33" s="3" t="s">
        <v>267</v>
      </c>
      <c r="C33" s="32">
        <f>C4</f>
        <v>52.5</v>
      </c>
      <c r="D33" s="62"/>
      <c r="E33" s="38"/>
      <c r="F33" s="62"/>
      <c r="G33" s="62"/>
      <c r="H33" s="38"/>
      <c r="I33" t="s">
        <v>268</v>
      </c>
      <c r="J33" s="168">
        <f>1-(E33/C33)^(1/(E$25-C$25))</f>
        <v>1</v>
      </c>
      <c r="K33" s="44"/>
    </row>
    <row r="34" spans="1:11" x14ac:dyDescent="0.5">
      <c r="B34" s="3" t="s">
        <v>269</v>
      </c>
      <c r="C34" s="32">
        <f>C5</f>
        <v>735</v>
      </c>
      <c r="D34" s="62"/>
      <c r="E34" s="38"/>
      <c r="F34" s="62"/>
      <c r="G34" s="62"/>
      <c r="H34" s="38"/>
      <c r="I34" t="s">
        <v>61</v>
      </c>
      <c r="J34" s="168">
        <f t="shared" ref="J34" si="0">1-(E34/C34)^(1/(E$25-C$25))</f>
        <v>1</v>
      </c>
      <c r="K34" s="44"/>
    </row>
    <row r="35" spans="1:11" x14ac:dyDescent="0.5">
      <c r="B35" s="3" t="s">
        <v>259</v>
      </c>
      <c r="C35" s="32">
        <f>C6</f>
        <v>50000</v>
      </c>
      <c r="D35" s="54">
        <f>$C35*(1-$J35)^(D$25-$C$25)</f>
        <v>74299.714456847389</v>
      </c>
      <c r="E35" s="32">
        <v>100000</v>
      </c>
      <c r="F35" s="54">
        <f>$E35*(1-$K35)^(F$25-$E$25)</f>
        <v>100000</v>
      </c>
      <c r="G35" s="54">
        <f>$E35*(1-$K35)^(G$25-$E$25)</f>
        <v>100000</v>
      </c>
      <c r="H35">
        <v>100000</v>
      </c>
      <c r="I35" t="s">
        <v>105</v>
      </c>
      <c r="J35" s="168">
        <f>1-(E35/C35)^(1/(E$25-C$25))</f>
        <v>-0.10408951367381225</v>
      </c>
      <c r="K35" s="44">
        <f>1-(H35/E35)^(1/(H$32-E$32))</f>
        <v>0</v>
      </c>
    </row>
    <row r="36" spans="1:11" x14ac:dyDescent="0.5">
      <c r="B36" s="3" t="s">
        <v>260</v>
      </c>
      <c r="C36" s="32">
        <f>C7</f>
        <v>50</v>
      </c>
      <c r="D36" s="54">
        <f>$C36*(1-$J36)^(D$25-$C$25)</f>
        <v>37.342147517894198</v>
      </c>
      <c r="E36" s="50">
        <v>30</v>
      </c>
      <c r="F36" s="54">
        <f>$E36*(1-$K36)^(F$25-$E$25)</f>
        <v>31.776715231464372</v>
      </c>
      <c r="G36" s="54">
        <f>$E36*(1-$K36)^(G$25-$E$25)</f>
        <v>36.692590185696083</v>
      </c>
      <c r="H36">
        <v>40</v>
      </c>
      <c r="I36" t="s">
        <v>64</v>
      </c>
      <c r="J36" s="168">
        <f>1-(E36/C36)^(1/(E$25-C$25))</f>
        <v>7.0376012501218721E-2</v>
      </c>
      <c r="K36" s="44">
        <f>1-(H36/E36)^(1/(H$25-E$25))</f>
        <v>-2.9186008964760646E-2</v>
      </c>
    </row>
    <row r="37" spans="1:11" ht="14.7" thickBot="1" x14ac:dyDescent="0.55000000000000004">
      <c r="B37" s="5" t="s">
        <v>65</v>
      </c>
      <c r="C37" s="33">
        <f>C8</f>
        <v>60</v>
      </c>
      <c r="D37" s="55">
        <f>$C37*(1-$J37)^(D$25-$C$25)</f>
        <v>63.905191031907577</v>
      </c>
      <c r="E37" s="33">
        <v>67</v>
      </c>
      <c r="F37" s="55">
        <f>$E37*(1-$K37)^(F$25-$E$25)</f>
        <v>67.21774385297384</v>
      </c>
      <c r="G37" s="55">
        <f>$E37*(1-$K37)^(G$32-$E$32)</f>
        <v>67.765204476250119</v>
      </c>
      <c r="H37" s="6">
        <v>70</v>
      </c>
      <c r="I37" s="6" t="s">
        <v>66</v>
      </c>
      <c r="J37" s="169">
        <f>1-(E37/C37)^(1/(E$25-C$25))</f>
        <v>-1.5888915628009981E-2</v>
      </c>
      <c r="K37" s="166">
        <f>1-(H37/E37)^(1/(H$32-E$32))</f>
        <v>-1.623636029691955E-3</v>
      </c>
    </row>
    <row r="38" spans="1:11" ht="14.7" thickBot="1" x14ac:dyDescent="0.55000000000000004">
      <c r="B38" s="3"/>
      <c r="C38" s="32"/>
      <c r="D38" s="54"/>
      <c r="E38" s="32"/>
      <c r="F38" s="54"/>
      <c r="G38" s="54"/>
      <c r="J38" s="44"/>
      <c r="K38" s="44"/>
    </row>
    <row r="39" spans="1:11" x14ac:dyDescent="0.5">
      <c r="A39" s="3" t="s">
        <v>326</v>
      </c>
      <c r="B39" s="4"/>
      <c r="C39" s="4">
        <v>2016</v>
      </c>
      <c r="D39" s="223">
        <v>2015</v>
      </c>
      <c r="E39" s="29">
        <v>2020</v>
      </c>
      <c r="F39" s="29">
        <v>2025</v>
      </c>
      <c r="G39" s="29">
        <v>2030</v>
      </c>
      <c r="H39" s="4">
        <v>2050</v>
      </c>
      <c r="I39" s="4" t="s">
        <v>59</v>
      </c>
      <c r="J39" s="170"/>
      <c r="K39" s="167"/>
    </row>
    <row r="40" spans="1:11" x14ac:dyDescent="0.5">
      <c r="B40" s="3" t="s">
        <v>267</v>
      </c>
      <c r="C40" s="32">
        <f>C4</f>
        <v>52.5</v>
      </c>
      <c r="D40" s="62"/>
      <c r="E40" s="38"/>
      <c r="F40" s="62"/>
      <c r="G40" s="62"/>
      <c r="H40" s="38"/>
      <c r="I40" t="s">
        <v>268</v>
      </c>
      <c r="J40" s="168">
        <f>1-(E40/C40)^(1/(E$25-C$25))</f>
        <v>1</v>
      </c>
      <c r="K40" s="44"/>
    </row>
    <row r="41" spans="1:11" x14ac:dyDescent="0.5">
      <c r="B41" s="3" t="s">
        <v>269</v>
      </c>
      <c r="C41" s="32">
        <f>C5</f>
        <v>735</v>
      </c>
      <c r="D41" s="62"/>
      <c r="E41" s="38"/>
      <c r="F41" s="62"/>
      <c r="G41" s="62"/>
      <c r="H41" s="38"/>
      <c r="I41" t="s">
        <v>61</v>
      </c>
      <c r="J41" s="168">
        <f t="shared" ref="J41" si="1">1-(E41/C41)^(1/(E$25-C$25))</f>
        <v>1</v>
      </c>
      <c r="K41" s="44"/>
    </row>
    <row r="42" spans="1:11" x14ac:dyDescent="0.5">
      <c r="B42" s="3" t="s">
        <v>259</v>
      </c>
      <c r="C42" s="32">
        <f>C6</f>
        <v>50000</v>
      </c>
      <c r="D42" s="63"/>
      <c r="E42" s="39"/>
      <c r="F42" s="63"/>
      <c r="G42" s="63"/>
      <c r="H42" s="40"/>
      <c r="I42" t="s">
        <v>105</v>
      </c>
      <c r="J42" s="168">
        <f>1-(E42/C42)^(1/(E$25-C$25))</f>
        <v>1</v>
      </c>
      <c r="K42" s="44"/>
    </row>
    <row r="43" spans="1:11" x14ac:dyDescent="0.5">
      <c r="B43" s="3" t="s">
        <v>260</v>
      </c>
      <c r="C43" s="32">
        <f>C7</f>
        <v>50</v>
      </c>
      <c r="D43" s="63"/>
      <c r="E43" s="204"/>
      <c r="F43" s="63"/>
      <c r="G43" s="63"/>
      <c r="H43" s="40"/>
      <c r="I43" t="s">
        <v>64</v>
      </c>
      <c r="J43" s="168">
        <f>1-(E43/C43)^(1/(E$25-C$25))</f>
        <v>1</v>
      </c>
      <c r="K43" s="44"/>
    </row>
    <row r="44" spans="1:11" x14ac:dyDescent="0.5">
      <c r="B44" s="3" t="s">
        <v>65</v>
      </c>
      <c r="C44" s="32">
        <f>C7</f>
        <v>50</v>
      </c>
      <c r="D44" s="63"/>
      <c r="E44" s="39"/>
      <c r="F44" s="63"/>
      <c r="G44" s="63"/>
      <c r="H44" s="40"/>
      <c r="I44" s="115" t="s">
        <v>66</v>
      </c>
      <c r="J44" s="44">
        <f>1-(E44/C44)^(1/(E$25-C$25))</f>
        <v>1</v>
      </c>
      <c r="K44" s="44"/>
    </row>
    <row r="45" spans="1:11" ht="14.7" thickBot="1" x14ac:dyDescent="0.55000000000000004">
      <c r="B45" s="5" t="s">
        <v>51</v>
      </c>
      <c r="C45" s="41"/>
      <c r="D45" s="255" t="s">
        <v>343</v>
      </c>
      <c r="E45" s="41"/>
      <c r="F45" s="67"/>
      <c r="G45" s="67"/>
      <c r="H45" s="42"/>
      <c r="I45" s="6" t="s">
        <v>344</v>
      </c>
      <c r="J45" s="169"/>
      <c r="K45" s="166"/>
    </row>
    <row r="46" spans="1:11" ht="14.7" thickBot="1" x14ac:dyDescent="0.55000000000000004">
      <c r="J46" s="44"/>
      <c r="K46" s="44"/>
    </row>
    <row r="47" spans="1:11" x14ac:dyDescent="0.5">
      <c r="A47" s="3" t="s">
        <v>327</v>
      </c>
      <c r="B47" s="4"/>
      <c r="C47" s="4">
        <v>2016</v>
      </c>
      <c r="D47" s="29">
        <v>2020</v>
      </c>
      <c r="E47" s="4">
        <v>2023</v>
      </c>
      <c r="F47" s="29">
        <v>2025</v>
      </c>
      <c r="G47" s="29">
        <v>2030</v>
      </c>
      <c r="H47" s="4">
        <v>2050</v>
      </c>
      <c r="I47" s="4" t="s">
        <v>59</v>
      </c>
      <c r="J47" s="170"/>
      <c r="K47" s="167"/>
    </row>
    <row r="48" spans="1:11" x14ac:dyDescent="0.5">
      <c r="B48" s="3" t="s">
        <v>267</v>
      </c>
      <c r="C48" s="32">
        <f>C4</f>
        <v>52.5</v>
      </c>
      <c r="D48" s="62"/>
      <c r="E48" s="38"/>
      <c r="F48" s="62"/>
      <c r="G48" s="62"/>
      <c r="H48" s="38"/>
      <c r="I48" t="s">
        <v>268</v>
      </c>
      <c r="J48" s="168">
        <f>1-(E48/C48)^(1/(E$25-C$25))</f>
        <v>1</v>
      </c>
      <c r="K48" s="44"/>
    </row>
    <row r="49" spans="1:11" x14ac:dyDescent="0.5">
      <c r="B49" s="3" t="s">
        <v>269</v>
      </c>
      <c r="C49" s="32">
        <f>C5</f>
        <v>735</v>
      </c>
      <c r="D49" s="62"/>
      <c r="E49" s="38"/>
      <c r="F49" s="62"/>
      <c r="G49" s="62"/>
      <c r="H49" s="38"/>
      <c r="I49" t="s">
        <v>61</v>
      </c>
      <c r="J49" s="168">
        <f t="shared" ref="J49" si="2">1-(E49/C49)^(1/(E$25-C$25))</f>
        <v>1</v>
      </c>
      <c r="K49" s="44"/>
    </row>
    <row r="50" spans="1:11" x14ac:dyDescent="0.5">
      <c r="B50" s="3" t="s">
        <v>259</v>
      </c>
      <c r="C50" s="32">
        <f>C6</f>
        <v>50000</v>
      </c>
      <c r="D50" s="63"/>
      <c r="E50" s="39"/>
      <c r="F50" s="63"/>
      <c r="G50" s="63"/>
      <c r="H50" s="40"/>
      <c r="I50" t="s">
        <v>105</v>
      </c>
      <c r="J50" s="168">
        <f>1-(E50/C50)^(1/(E$25-C$25))</f>
        <v>1</v>
      </c>
      <c r="K50" s="44"/>
    </row>
    <row r="51" spans="1:11" x14ac:dyDescent="0.5">
      <c r="B51" s="3" t="s">
        <v>260</v>
      </c>
      <c r="C51" s="32">
        <f>C7</f>
        <v>50</v>
      </c>
      <c r="D51" s="63"/>
      <c r="E51" s="204"/>
      <c r="F51" s="63"/>
      <c r="G51" s="63"/>
      <c r="H51" s="40"/>
      <c r="I51" t="s">
        <v>64</v>
      </c>
      <c r="J51" s="168">
        <f>1-(E51/C51)^(1/(E$25-C$25))</f>
        <v>1</v>
      </c>
      <c r="K51" s="44"/>
    </row>
    <row r="52" spans="1:11" x14ac:dyDescent="0.5">
      <c r="B52" s="3" t="s">
        <v>65</v>
      </c>
      <c r="C52" s="32">
        <f>C8</f>
        <v>60</v>
      </c>
      <c r="D52" s="63"/>
      <c r="E52" s="39"/>
      <c r="F52" s="212">
        <v>70</v>
      </c>
      <c r="G52" s="63"/>
      <c r="H52" s="40"/>
      <c r="I52" t="s">
        <v>66</v>
      </c>
      <c r="J52" s="44">
        <f>1-(E52/C52)^(1/(E$25-C$25))</f>
        <v>1</v>
      </c>
      <c r="K52" s="44"/>
    </row>
    <row r="53" spans="1:11" ht="14.7" thickBot="1" x14ac:dyDescent="0.55000000000000004">
      <c r="B53" s="5" t="s">
        <v>51</v>
      </c>
      <c r="C53" s="41"/>
      <c r="D53" s="67"/>
      <c r="E53" s="41"/>
      <c r="F53" s="205">
        <v>6</v>
      </c>
      <c r="G53" s="67"/>
      <c r="H53" s="42"/>
      <c r="I53" s="6"/>
      <c r="J53" s="166"/>
      <c r="K53" s="166"/>
    </row>
    <row r="54" spans="1:11" ht="14.7" thickBot="1" x14ac:dyDescent="0.55000000000000004"/>
    <row r="55" spans="1:11" x14ac:dyDescent="0.5">
      <c r="A55" s="3" t="s">
        <v>345</v>
      </c>
      <c r="B55" s="4"/>
      <c r="C55" s="4">
        <v>2016</v>
      </c>
      <c r="D55" s="29">
        <v>2020</v>
      </c>
      <c r="E55" s="4">
        <v>2021</v>
      </c>
      <c r="F55" s="29">
        <v>2025</v>
      </c>
      <c r="G55" s="29">
        <v>2030</v>
      </c>
      <c r="H55" s="4">
        <v>2050</v>
      </c>
      <c r="I55" s="4" t="s">
        <v>59</v>
      </c>
      <c r="J55" s="170"/>
      <c r="K55" s="167"/>
    </row>
    <row r="56" spans="1:11" x14ac:dyDescent="0.5">
      <c r="B56" s="3" t="s">
        <v>267</v>
      </c>
      <c r="C56" s="32">
        <f>C4</f>
        <v>52.5</v>
      </c>
      <c r="D56" s="209"/>
      <c r="E56" s="32">
        <v>52.14</v>
      </c>
      <c r="F56" s="54">
        <f>E$56*(1-J56)^(F55-E55)</f>
        <v>50.720340635584925</v>
      </c>
      <c r="G56" s="208">
        <v>49</v>
      </c>
      <c r="H56" s="38"/>
      <c r="I56" t="s">
        <v>268</v>
      </c>
      <c r="J56" s="168">
        <f>1-(G56/E56)^(1/(G$55-E$55))</f>
        <v>6.8775860030215741E-3</v>
      </c>
      <c r="K56" s="44">
        <f>1-(H56/E56)^(1/(H$25-E$25))</f>
        <v>1</v>
      </c>
    </row>
    <row r="57" spans="1:11" x14ac:dyDescent="0.5">
      <c r="B57" s="3" t="s">
        <v>269</v>
      </c>
      <c r="C57" s="32">
        <f>C5</f>
        <v>735</v>
      </c>
      <c r="D57" s="209"/>
      <c r="E57" s="210"/>
      <c r="F57" s="209"/>
      <c r="G57" s="210"/>
      <c r="H57" s="38"/>
      <c r="I57" t="s">
        <v>61</v>
      </c>
      <c r="J57" s="168">
        <f t="shared" ref="J57" si="3">1-(E57/C57)^(1/(E$25-C$25))</f>
        <v>1</v>
      </c>
      <c r="K57" s="44"/>
    </row>
    <row r="58" spans="1:11" x14ac:dyDescent="0.5">
      <c r="B58" s="3" t="s">
        <v>259</v>
      </c>
      <c r="C58" s="32">
        <f>C6</f>
        <v>50000</v>
      </c>
      <c r="D58" s="63"/>
      <c r="E58" s="39"/>
      <c r="F58" s="63"/>
      <c r="G58" s="39"/>
      <c r="H58" s="40"/>
      <c r="I58" t="s">
        <v>105</v>
      </c>
      <c r="J58" s="168">
        <f>1-(E58/C58)^(1/(E$25-C$25))</f>
        <v>1</v>
      </c>
      <c r="K58" s="44"/>
    </row>
    <row r="59" spans="1:11" x14ac:dyDescent="0.5">
      <c r="B59" s="3" t="s">
        <v>260</v>
      </c>
      <c r="C59" s="32">
        <f>C7</f>
        <v>50</v>
      </c>
      <c r="D59" s="63"/>
      <c r="E59" s="206">
        <v>60</v>
      </c>
      <c r="F59" s="63"/>
      <c r="G59" s="208">
        <v>60</v>
      </c>
      <c r="H59" s="40"/>
      <c r="I59" t="s">
        <v>64</v>
      </c>
      <c r="J59" s="168">
        <f>1-(E59/C59)^(1/(E$25-C$25))</f>
        <v>-2.6388096257039528E-2</v>
      </c>
      <c r="K59" s="44">
        <f>1-(H59/E59)^(1/(H$25-E$25))</f>
        <v>1</v>
      </c>
    </row>
    <row r="60" spans="1:11" x14ac:dyDescent="0.5">
      <c r="B60" s="3" t="s">
        <v>65</v>
      </c>
      <c r="C60" s="32">
        <f>C8</f>
        <v>60</v>
      </c>
      <c r="D60" s="63"/>
      <c r="E60" s="39"/>
      <c r="F60" s="63"/>
      <c r="G60" s="63"/>
      <c r="H60" s="40"/>
      <c r="I60" t="s">
        <v>66</v>
      </c>
      <c r="J60" s="168">
        <f>1-(E60/C60)^(1/(E$25-C$25))</f>
        <v>1</v>
      </c>
      <c r="K60" s="44"/>
    </row>
    <row r="61" spans="1:11" ht="14.7" thickBot="1" x14ac:dyDescent="0.55000000000000004">
      <c r="B61" s="5" t="s">
        <v>51</v>
      </c>
      <c r="C61" s="41"/>
      <c r="D61" s="67"/>
      <c r="E61" s="255" t="s">
        <v>329</v>
      </c>
      <c r="F61" s="67"/>
      <c r="G61" s="67"/>
      <c r="H61" s="42"/>
      <c r="I61" s="6" t="s">
        <v>74</v>
      </c>
      <c r="J61" s="169"/>
      <c r="K61" s="166"/>
    </row>
  </sheetData>
  <hyperlinks>
    <hyperlink ref="E17" r:id="rId1" xr:uid="{00000000-0004-0000-0A00-000001000000}"/>
    <hyperlink ref="E19" r:id="rId2" xr:uid="{4E224585-11B0-4849-B783-A390865FD9D6}"/>
    <hyperlink ref="E20" r:id="rId3" xr:uid="{BD0F8879-8D3B-40F4-B685-0D2EC48CED38}"/>
    <hyperlink ref="E16" r:id="rId4" xr:uid="{FBBD00F2-BF6B-4813-AF2A-19996EE8DA45}"/>
  </hyperlinks>
  <pageMargins left="0.7" right="0.7" top="0.75" bottom="0.75" header="0.3" footer="0.3"/>
  <pageSetup paperSize="9" orientation="portrait"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11"/>
  <dimension ref="B3:L18"/>
  <sheetViews>
    <sheetView workbookViewId="0">
      <selection activeCell="E40" sqref="E40"/>
    </sheetView>
  </sheetViews>
  <sheetFormatPr defaultColWidth="11.46875" defaultRowHeight="14.35" x14ac:dyDescent="0.5"/>
  <cols>
    <col min="2" max="2" width="27.64453125" bestFit="1" customWidth="1"/>
    <col min="12" max="12" width="20.17578125" bestFit="1" customWidth="1"/>
  </cols>
  <sheetData>
    <row r="3" spans="2:12" x14ac:dyDescent="0.5">
      <c r="C3" s="425">
        <v>2016</v>
      </c>
      <c r="D3" s="425"/>
      <c r="E3" s="425"/>
      <c r="F3" s="426">
        <v>2025</v>
      </c>
      <c r="G3" s="426"/>
      <c r="H3" s="426"/>
      <c r="I3" s="426">
        <v>2030</v>
      </c>
      <c r="J3" s="426"/>
      <c r="K3" s="426"/>
      <c r="L3" s="105"/>
    </row>
    <row r="4" spans="2:12" ht="18.350000000000001" thickBot="1" x14ac:dyDescent="0.65">
      <c r="B4" s="104" t="s">
        <v>346</v>
      </c>
      <c r="C4" s="106" t="s">
        <v>56</v>
      </c>
      <c r="D4" s="106" t="s">
        <v>57</v>
      </c>
      <c r="E4" s="106" t="s">
        <v>58</v>
      </c>
      <c r="F4" s="106" t="s">
        <v>56</v>
      </c>
      <c r="G4" s="106" t="s">
        <v>57</v>
      </c>
      <c r="H4" s="106" t="s">
        <v>58</v>
      </c>
      <c r="I4" s="106" t="s">
        <v>56</v>
      </c>
      <c r="J4" s="106" t="s">
        <v>57</v>
      </c>
      <c r="K4" s="106" t="s">
        <v>58</v>
      </c>
      <c r="L4" s="106" t="s">
        <v>59</v>
      </c>
    </row>
    <row r="5" spans="2:12" x14ac:dyDescent="0.5">
      <c r="B5" s="18" t="s">
        <v>255</v>
      </c>
      <c r="C5" s="148">
        <f>'Overview 2016 (in)'!G6</f>
        <v>6</v>
      </c>
      <c r="D5" s="149">
        <f>'Overview 2016 (in)'!H6</f>
        <v>2</v>
      </c>
      <c r="E5" s="150">
        <f>'Overview 2016 (in)'!I6</f>
        <v>3</v>
      </c>
      <c r="F5" s="148">
        <f t="shared" ref="F5:F15" si="0">IFERROR(C5*H5/E5,0)</f>
        <v>6</v>
      </c>
      <c r="G5" s="149">
        <f t="shared" ref="G5:G15" si="1">IFERROR(D5*H5/E5, 0)</f>
        <v>2</v>
      </c>
      <c r="H5" s="150">
        <f>E5</f>
        <v>3</v>
      </c>
      <c r="I5" s="148">
        <f>IFERROR(F5*K5/H5,0)</f>
        <v>6</v>
      </c>
      <c r="J5" s="149">
        <f>IFERROR(G5*K5/H5, 0)</f>
        <v>2</v>
      </c>
      <c r="K5" s="150">
        <f>H5</f>
        <v>3</v>
      </c>
      <c r="L5" s="21" t="s">
        <v>256</v>
      </c>
    </row>
    <row r="6" spans="2:12" x14ac:dyDescent="0.5">
      <c r="B6" s="3" t="s">
        <v>257</v>
      </c>
      <c r="C6" s="151">
        <f>'Overview 2016 (in)'!G7</f>
        <v>0.6</v>
      </c>
      <c r="D6" s="152">
        <f>'Overview 2016 (in)'!H7</f>
        <v>0.2</v>
      </c>
      <c r="E6" s="153">
        <f>'Overview 2016 (in)'!I7</f>
        <v>0.4</v>
      </c>
      <c r="F6" s="151">
        <f t="shared" si="0"/>
        <v>0.6</v>
      </c>
      <c r="G6" s="152">
        <f t="shared" si="1"/>
        <v>0.20000000000000004</v>
      </c>
      <c r="H6" s="153">
        <f>E6</f>
        <v>0.4</v>
      </c>
      <c r="I6" s="151">
        <f t="shared" ref="I6:I15" si="2">IFERROR(F6*K6/H6,0)</f>
        <v>0.6</v>
      </c>
      <c r="J6" s="152">
        <f t="shared" ref="J6:J13" si="3">IFERROR(G6*K6/H6, 0)</f>
        <v>0.20000000000000004</v>
      </c>
      <c r="K6" s="153">
        <f>H6</f>
        <v>0.4</v>
      </c>
      <c r="L6" s="22" t="s">
        <v>258</v>
      </c>
    </row>
    <row r="7" spans="2:12" x14ac:dyDescent="0.5">
      <c r="B7" s="18" t="s">
        <v>259</v>
      </c>
      <c r="C7" s="148">
        <f>'Overview 2016 (in)'!G8</f>
        <v>100000</v>
      </c>
      <c r="D7" s="149">
        <f>'Overview 2016 (in)'!H8</f>
        <v>10000</v>
      </c>
      <c r="E7" s="141">
        <f>'Overview 2016 (in)'!I8</f>
        <v>50000</v>
      </c>
      <c r="F7" s="148">
        <f t="shared" ca="1" si="0"/>
        <v>200000</v>
      </c>
      <c r="G7" s="149">
        <f t="shared" ca="1" si="1"/>
        <v>20000</v>
      </c>
      <c r="H7" s="141">
        <f ca="1">INDIRECT(ADDRESS(ROW($B6),COLUMN(E$4),1,,$B$4))</f>
        <v>100000</v>
      </c>
      <c r="I7" s="148">
        <f ca="1">IFERROR(F7*K7/H7,0)</f>
        <v>200000</v>
      </c>
      <c r="J7" s="149">
        <f ca="1">IFERROR(G7*K7/H7, 0)</f>
        <v>20000</v>
      </c>
      <c r="K7" s="141">
        <f ca="1">INDIRECT(ADDRESS(ROW($B6),COLUMN($F4),1,,$B$4))</f>
        <v>100000</v>
      </c>
      <c r="L7" s="21" t="s">
        <v>105</v>
      </c>
    </row>
    <row r="8" spans="2:12" x14ac:dyDescent="0.5">
      <c r="B8" s="3" t="s">
        <v>260</v>
      </c>
      <c r="C8" s="151">
        <f>'Overview 2016 (in)'!G9</f>
        <v>100</v>
      </c>
      <c r="D8" s="152">
        <f>'Overview 2016 (in)'!H9</f>
        <v>20</v>
      </c>
      <c r="E8" s="142">
        <f>'Overview 2016 (in)'!I9</f>
        <v>50</v>
      </c>
      <c r="F8" s="151">
        <f t="shared" ca="1" si="0"/>
        <v>120</v>
      </c>
      <c r="G8" s="152">
        <f t="shared" ca="1" si="1"/>
        <v>24</v>
      </c>
      <c r="H8" s="142">
        <f ca="1">INDIRECT(ADDRESS(ROW($B7),COLUMN(E$4),1,,$B$4))</f>
        <v>60</v>
      </c>
      <c r="I8" s="151">
        <f ca="1">IFERROR(F8*K8/H8,0)</f>
        <v>120</v>
      </c>
      <c r="J8" s="152">
        <f ca="1">IFERROR(G8*K8/H8, 0)</f>
        <v>24</v>
      </c>
      <c r="K8" s="142">
        <f ca="1">INDIRECT(ADDRESS(ROW($B7),COLUMN($F4),1,,$B$4))</f>
        <v>60</v>
      </c>
      <c r="L8" s="22" t="s">
        <v>64</v>
      </c>
    </row>
    <row r="9" spans="2:12" x14ac:dyDescent="0.5">
      <c r="B9" s="18" t="s">
        <v>81</v>
      </c>
      <c r="C9" s="148">
        <f>'Overview 2016 (in)'!G10</f>
        <v>50</v>
      </c>
      <c r="D9" s="149">
        <f>'Overview 2016 (in)'!H10</f>
        <v>35</v>
      </c>
      <c r="E9" s="150">
        <f>'Overview 2016 (in)'!I10</f>
        <v>40</v>
      </c>
      <c r="F9" s="148">
        <f t="shared" si="0"/>
        <v>50</v>
      </c>
      <c r="G9" s="149">
        <f t="shared" si="1"/>
        <v>35</v>
      </c>
      <c r="H9" s="150">
        <f>E9</f>
        <v>40</v>
      </c>
      <c r="I9" s="148">
        <f t="shared" si="2"/>
        <v>50</v>
      </c>
      <c r="J9" s="149">
        <f t="shared" si="3"/>
        <v>35</v>
      </c>
      <c r="K9" s="150">
        <f>H9</f>
        <v>40</v>
      </c>
      <c r="L9" s="21" t="s">
        <v>66</v>
      </c>
    </row>
    <row r="10" spans="2:12" x14ac:dyDescent="0.5">
      <c r="B10" s="3" t="s">
        <v>65</v>
      </c>
      <c r="C10" s="151">
        <f>'Overview 2016 (in)'!G11</f>
        <v>80</v>
      </c>
      <c r="D10" s="152">
        <f>'Overview 2016 (in)'!H11</f>
        <v>40</v>
      </c>
      <c r="E10" s="142">
        <f>'Overview 2016 (in)'!I11</f>
        <v>60</v>
      </c>
      <c r="F10" s="151">
        <f t="shared" ca="1" si="0"/>
        <v>93.333333333333329</v>
      </c>
      <c r="G10" s="152">
        <f t="shared" ca="1" si="1"/>
        <v>46.666666666666664</v>
      </c>
      <c r="H10" s="142">
        <f ca="1">INDIRECT(ADDRESS(ROW($B8),COLUMN(E$4),1,,$B$4))</f>
        <v>70</v>
      </c>
      <c r="I10" s="151">
        <f ca="1">IFERROR(F10*K10/H10,0)</f>
        <v>93.333333333333329</v>
      </c>
      <c r="J10" s="152">
        <f ca="1">IFERROR(G10*K10/H10, 0)</f>
        <v>46.666666666666664</v>
      </c>
      <c r="K10" s="142">
        <f ca="1">INDIRECT(ADDRESS(ROW($B8),COLUMN($F4),1,,$B$4))</f>
        <v>70</v>
      </c>
      <c r="L10" s="22" t="s">
        <v>66</v>
      </c>
    </row>
    <row r="11" spans="2:12" x14ac:dyDescent="0.5">
      <c r="B11" s="18" t="s">
        <v>137</v>
      </c>
      <c r="C11" s="148">
        <f>'Overview 2016 (in)'!G12</f>
        <v>0</v>
      </c>
      <c r="D11" s="149">
        <f>'Overview 2016 (in)'!H12</f>
        <v>1</v>
      </c>
      <c r="E11" s="150">
        <f>'Overview 2016 (in)'!I12</f>
        <v>0.5</v>
      </c>
      <c r="F11" s="148">
        <f t="shared" si="0"/>
        <v>0</v>
      </c>
      <c r="G11" s="149">
        <f t="shared" si="1"/>
        <v>1</v>
      </c>
      <c r="H11" s="150">
        <f>E11</f>
        <v>0.5</v>
      </c>
      <c r="I11" s="148">
        <f t="shared" si="2"/>
        <v>0</v>
      </c>
      <c r="J11" s="149">
        <f t="shared" si="3"/>
        <v>1</v>
      </c>
      <c r="K11" s="150">
        <f>H11</f>
        <v>0.5</v>
      </c>
      <c r="L11" s="21" t="s">
        <v>261</v>
      </c>
    </row>
    <row r="12" spans="2:12" x14ac:dyDescent="0.5">
      <c r="B12" s="28" t="s">
        <v>262</v>
      </c>
      <c r="C12" s="151" t="str">
        <f>'Overview 2016 (in)'!G13</f>
        <v>sec</v>
      </c>
      <c r="D12" s="152">
        <f>'Overview 2016 (in)'!H13</f>
        <v>900</v>
      </c>
      <c r="E12" s="153">
        <f>'Overview 2016 (in)'!I13</f>
        <v>480</v>
      </c>
      <c r="F12" s="151">
        <f t="shared" si="0"/>
        <v>0</v>
      </c>
      <c r="G12" s="152">
        <f t="shared" si="1"/>
        <v>900</v>
      </c>
      <c r="H12" s="153">
        <f>E12</f>
        <v>480</v>
      </c>
      <c r="I12" s="151">
        <f t="shared" si="2"/>
        <v>0</v>
      </c>
      <c r="J12" s="152">
        <f t="shared" si="3"/>
        <v>900</v>
      </c>
      <c r="K12" s="153">
        <f>H12</f>
        <v>480</v>
      </c>
      <c r="L12" s="88" t="s">
        <v>265</v>
      </c>
    </row>
    <row r="13" spans="2:12" x14ac:dyDescent="0.5">
      <c r="B13" s="89" t="s">
        <v>266</v>
      </c>
      <c r="C13" s="154">
        <f>'Overview 2016 (in)'!G14</f>
        <v>0</v>
      </c>
      <c r="D13" s="149">
        <f>'Overview 2016 (in)'!H14</f>
        <v>0</v>
      </c>
      <c r="E13" s="150">
        <f>'Overview 2016 (in)'!I14</f>
        <v>0</v>
      </c>
      <c r="F13" s="154">
        <f t="shared" si="0"/>
        <v>0</v>
      </c>
      <c r="G13" s="149">
        <f t="shared" si="1"/>
        <v>0</v>
      </c>
      <c r="H13" s="150">
        <f>E13</f>
        <v>0</v>
      </c>
      <c r="I13" s="154">
        <f t="shared" si="2"/>
        <v>0</v>
      </c>
      <c r="J13" s="149">
        <f t="shared" si="3"/>
        <v>0</v>
      </c>
      <c r="K13" s="150">
        <f>H13</f>
        <v>0</v>
      </c>
      <c r="L13" s="21" t="s">
        <v>64</v>
      </c>
    </row>
    <row r="14" spans="2:12" x14ac:dyDescent="0.5">
      <c r="B14" s="28" t="s">
        <v>267</v>
      </c>
      <c r="C14" s="151">
        <f>'Overview 2016 (in)'!G15</f>
        <v>2</v>
      </c>
      <c r="D14" s="152">
        <f>'Overview 2016 (in)'!H15</f>
        <v>84</v>
      </c>
      <c r="E14" s="143">
        <f>'Overview 2016 (in)'!I15</f>
        <v>52.5</v>
      </c>
      <c r="F14" s="151">
        <f t="shared" ca="1" si="0"/>
        <v>1.9428571428571428</v>
      </c>
      <c r="G14" s="152">
        <f t="shared" ca="1" si="1"/>
        <v>81.599999999999994</v>
      </c>
      <c r="H14" s="143">
        <f ca="1">IF(CELL("format",INDIRECT(ADDRESS(ROW($B4),COLUMN(E$4),1,,$B$4)))="W0-",INDIRECT(ADDRESS(ROW($B4),COLUMN(E$4),1,,$B$4))*'Overview 2016 (in)'!$O$7,INDIRECT(ADDRESS(ROW($B4),COLUMN(E$4),1,,$B$4)))</f>
        <v>51</v>
      </c>
      <c r="I14" s="151">
        <f t="shared" ca="1" si="2"/>
        <v>1.8666666666666667</v>
      </c>
      <c r="J14" s="152">
        <f t="shared" ref="J14:J15" ca="1" si="4">IFERROR(G14*K14/H14,0)</f>
        <v>78.399999999999991</v>
      </c>
      <c r="K14" s="143">
        <f ca="1">IF(CELL("format",INDIRECT(ADDRESS(ROW($B4),COLUMN($F4),1,,$B$4)))="W0-",INDIRECT(ADDRESS(ROW($B4),COLUMN($F4),1,,$B$4))*'Overview 2016 (in)'!$O$7,INDIRECT(ADDRESS(ROW($B4),COLUMN($F4),1,,$B$4)))</f>
        <v>49</v>
      </c>
      <c r="L14" s="88" t="s">
        <v>268</v>
      </c>
    </row>
    <row r="15" spans="2:12" x14ac:dyDescent="0.5">
      <c r="B15" s="89" t="s">
        <v>269</v>
      </c>
      <c r="C15" s="149">
        <f>'Overview 2016 (in)'!G16</f>
        <v>400</v>
      </c>
      <c r="D15" s="149">
        <f>'Overview 2016 (in)'!H16</f>
        <v>1050</v>
      </c>
      <c r="E15" s="141">
        <f>'Overview 2016 (in)'!I16</f>
        <v>735</v>
      </c>
      <c r="F15" s="149">
        <f t="shared" ca="1" si="0"/>
        <v>400</v>
      </c>
      <c r="G15" s="149">
        <f t="shared" ca="1" si="1"/>
        <v>1050</v>
      </c>
      <c r="H15" s="141">
        <f ca="1">IF(CELL("format",INDIRECT(ADDRESS(ROW($B5),COLUMN(E$4),1,,$B$4)))="W0-",INDIRECT(ADDRESS(ROW($B5),COLUMN(E$4),1,,$B$4))*'Overview 2016 (in)'!$O$7,INDIRECT(ADDRESS(ROW($B5),COLUMN(E$4),1,,$B$4)))</f>
        <v>735</v>
      </c>
      <c r="I15" s="149">
        <f t="shared" ca="1" si="2"/>
        <v>400</v>
      </c>
      <c r="J15" s="149">
        <f t="shared" ca="1" si="4"/>
        <v>1050</v>
      </c>
      <c r="K15" s="141">
        <f ca="1">IF(CELL("format",INDIRECT(ADDRESS(ROW($B5),COLUMN($F4),1,,$B$4)))="W0-",INDIRECT(ADDRESS(ROW($B5),COLUMN($F4),1,,$B$4))*'Overview 2016 (in)'!$O$7,INDIRECT(ADDRESS(ROW($B5),COLUMN($F4),1,,$B$4)))</f>
        <v>735</v>
      </c>
      <c r="L15" s="21" t="s">
        <v>61</v>
      </c>
    </row>
    <row r="16" spans="2:12" ht="14.7" thickBot="1" x14ac:dyDescent="0.55000000000000004">
      <c r="B16" s="245" t="s">
        <v>51</v>
      </c>
      <c r="C16" s="260">
        <f>'CAES (calc)'!C9</f>
        <v>4</v>
      </c>
      <c r="D16" s="261">
        <f>'CAES (calc)'!C11</f>
        <v>10</v>
      </c>
      <c r="E16" s="262">
        <f>'CAES (calc)'!C10</f>
        <v>6</v>
      </c>
      <c r="F16" s="260">
        <f>C16</f>
        <v>4</v>
      </c>
      <c r="G16" s="261">
        <f>D16</f>
        <v>10</v>
      </c>
      <c r="H16" s="262">
        <f>E16</f>
        <v>6</v>
      </c>
      <c r="I16" s="260">
        <f>C16</f>
        <v>4</v>
      </c>
      <c r="J16" s="261">
        <f>D16</f>
        <v>10</v>
      </c>
      <c r="K16" s="262">
        <f>E16</f>
        <v>6</v>
      </c>
      <c r="L16" s="244" t="s">
        <v>74</v>
      </c>
    </row>
    <row r="17" spans="2:3" x14ac:dyDescent="0.5">
      <c r="C17" s="111"/>
    </row>
    <row r="18" spans="2:3" ht="18" x14ac:dyDescent="0.6">
      <c r="B18" s="1"/>
    </row>
  </sheetData>
  <mergeCells count="3">
    <mergeCell ref="C3:E3"/>
    <mergeCell ref="F3:H3"/>
    <mergeCell ref="I3:K3"/>
  </mergeCells>
  <pageMargins left="0.7" right="0.7" top="0.78740157499999996" bottom="0.78740157499999996"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2"/>
  <dimension ref="B2:L15"/>
  <sheetViews>
    <sheetView workbookViewId="0">
      <selection activeCell="G11" sqref="G11"/>
    </sheetView>
  </sheetViews>
  <sheetFormatPr defaultColWidth="9.17578125" defaultRowHeight="14.35" x14ac:dyDescent="0.5"/>
  <cols>
    <col min="2" max="2" width="26.52734375" customWidth="1"/>
    <col min="3" max="6" width="10.64453125" customWidth="1"/>
    <col min="7" max="7" width="20.29296875" customWidth="1"/>
    <col min="8" max="8" width="13.8203125" customWidth="1"/>
    <col min="9" max="12" width="12.64453125" customWidth="1"/>
  </cols>
  <sheetData>
    <row r="2" spans="2:12" ht="18.350000000000001" thickBot="1" x14ac:dyDescent="0.65">
      <c r="B2" s="1" t="s">
        <v>237</v>
      </c>
      <c r="C2" s="9"/>
      <c r="I2" s="1" t="s">
        <v>286</v>
      </c>
    </row>
    <row r="3" spans="2:12" x14ac:dyDescent="0.5">
      <c r="B3" s="4"/>
      <c r="C3" s="4">
        <v>2016</v>
      </c>
      <c r="D3" s="4">
        <v>2020</v>
      </c>
      <c r="E3" s="4">
        <v>2025</v>
      </c>
      <c r="F3" s="4">
        <v>2030</v>
      </c>
      <c r="G3" s="4" t="s">
        <v>59</v>
      </c>
      <c r="H3" s="3"/>
      <c r="I3" s="4" t="s">
        <v>287</v>
      </c>
      <c r="J3" s="4" t="s">
        <v>288</v>
      </c>
      <c r="K3" s="4" t="s">
        <v>289</v>
      </c>
      <c r="L3" s="4" t="s">
        <v>290</v>
      </c>
    </row>
    <row r="4" spans="2:12" x14ac:dyDescent="0.5">
      <c r="B4" s="3" t="s">
        <v>267</v>
      </c>
      <c r="C4" s="79">
        <f>'Overview 2016 (in)'!L15</f>
        <v>3000</v>
      </c>
      <c r="D4" s="32">
        <f>C4*(0.97)^4</f>
        <v>2655.8784299999998</v>
      </c>
      <c r="E4" s="32">
        <f>D4*(0.97)^5</f>
        <v>2280.693175963695</v>
      </c>
      <c r="F4" s="32">
        <f>E4*(0.97)^5</f>
        <v>1958.508832381822</v>
      </c>
      <c r="G4" t="s">
        <v>268</v>
      </c>
      <c r="I4">
        <v>2016</v>
      </c>
    </row>
    <row r="5" spans="2:12" x14ac:dyDescent="0.5">
      <c r="B5" s="3" t="s">
        <v>269</v>
      </c>
      <c r="C5" s="79">
        <f>'Overview 2016 (in)'!L16</f>
        <v>300</v>
      </c>
      <c r="D5" s="32">
        <f>C5*(0.97)^4</f>
        <v>265.58784299999996</v>
      </c>
      <c r="E5" s="32">
        <f>D5*(0.97)^5</f>
        <v>228.0693175963695</v>
      </c>
      <c r="F5" s="32">
        <f>E5*(0.97)^5</f>
        <v>195.85088323818221</v>
      </c>
      <c r="G5" t="s">
        <v>61</v>
      </c>
      <c r="I5">
        <v>2016</v>
      </c>
    </row>
    <row r="6" spans="2:12" x14ac:dyDescent="0.5">
      <c r="B6" s="3" t="s">
        <v>259</v>
      </c>
      <c r="C6">
        <f>'Overview 2016 (in)'!L8</f>
        <v>200000</v>
      </c>
      <c r="D6" s="32">
        <f>C6*(1.03)^4</f>
        <v>225101.76199999999</v>
      </c>
      <c r="E6" s="32">
        <f>D6*(1.03)^5</f>
        <v>260954.63676584887</v>
      </c>
      <c r="F6" s="32">
        <f>E6*(1.03)^5</f>
        <v>302517.94497102214</v>
      </c>
      <c r="G6" t="s">
        <v>105</v>
      </c>
      <c r="I6">
        <v>2016</v>
      </c>
    </row>
    <row r="7" spans="2:12" x14ac:dyDescent="0.5">
      <c r="B7" s="3" t="s">
        <v>260</v>
      </c>
      <c r="C7">
        <f>'Overview 2016 (in)'!L9</f>
        <v>20</v>
      </c>
      <c r="D7" s="32">
        <f>C7*(1.03)^4</f>
        <v>22.510176199999997</v>
      </c>
      <c r="E7" s="32">
        <f>D7*(1.03)^5</f>
        <v>26.095463676584885</v>
      </c>
      <c r="F7" s="32">
        <f>E7*(1.03)^5</f>
        <v>30.251794497102214</v>
      </c>
      <c r="G7" t="s">
        <v>64</v>
      </c>
      <c r="I7">
        <v>2016</v>
      </c>
    </row>
    <row r="8" spans="2:12" x14ac:dyDescent="0.5">
      <c r="B8" s="3" t="s">
        <v>65</v>
      </c>
      <c r="C8">
        <f>'Overview 2016 (in)'!L11</f>
        <v>84</v>
      </c>
      <c r="D8">
        <v>85</v>
      </c>
      <c r="E8">
        <v>86</v>
      </c>
      <c r="F8">
        <v>87</v>
      </c>
      <c r="G8" t="s">
        <v>66</v>
      </c>
      <c r="I8">
        <v>2016</v>
      </c>
    </row>
    <row r="9" spans="2:12" x14ac:dyDescent="0.5">
      <c r="B9" s="3" t="s">
        <v>292</v>
      </c>
      <c r="G9" t="s">
        <v>74</v>
      </c>
    </row>
    <row r="10" spans="2:12" ht="14.7" thickBot="1" x14ac:dyDescent="0.55000000000000004">
      <c r="B10" s="5" t="s">
        <v>293</v>
      </c>
      <c r="C10" s="6"/>
      <c r="D10" s="6"/>
      <c r="E10" s="6"/>
      <c r="F10" s="6"/>
      <c r="G10" s="6" t="s">
        <v>74</v>
      </c>
      <c r="I10" s="6"/>
      <c r="J10" s="6"/>
      <c r="K10" s="6"/>
      <c r="L10" s="6"/>
    </row>
    <row r="11" spans="2:12" x14ac:dyDescent="0.5">
      <c r="B11" s="3"/>
      <c r="C11" s="10"/>
    </row>
    <row r="12" spans="2:12" ht="15.75" customHeight="1" x14ac:dyDescent="0.5">
      <c r="B12" s="427" t="s">
        <v>347</v>
      </c>
      <c r="C12" s="427"/>
      <c r="D12" s="427"/>
      <c r="E12" s="427"/>
      <c r="F12" s="427"/>
      <c r="G12" s="427"/>
      <c r="H12" s="427"/>
      <c r="I12" s="427"/>
      <c r="J12" s="427"/>
    </row>
    <row r="13" spans="2:12" x14ac:dyDescent="0.5">
      <c r="B13" s="427"/>
      <c r="C13" s="427"/>
      <c r="D13" s="427"/>
      <c r="E13" s="427"/>
      <c r="F13" s="427"/>
      <c r="G13" s="427"/>
      <c r="H13" s="427"/>
      <c r="I13" s="427"/>
      <c r="J13" s="427"/>
    </row>
    <row r="14" spans="2:12" ht="18.350000000000001" thickBot="1" x14ac:dyDescent="0.65">
      <c r="B14" s="1" t="s">
        <v>295</v>
      </c>
    </row>
    <row r="15" spans="2:12" x14ac:dyDescent="0.5">
      <c r="B15" s="7" t="s">
        <v>297</v>
      </c>
      <c r="C15" s="7" t="s">
        <v>298</v>
      </c>
      <c r="D15" s="7" t="s">
        <v>299</v>
      </c>
      <c r="E15" s="7" t="s">
        <v>348</v>
      </c>
      <c r="F15" s="7"/>
      <c r="G15" s="8"/>
    </row>
  </sheetData>
  <mergeCells count="1">
    <mergeCell ref="B12:J13"/>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3"/>
  <dimension ref="B3:L18"/>
  <sheetViews>
    <sheetView workbookViewId="0">
      <selection activeCell="L17" sqref="L17"/>
    </sheetView>
  </sheetViews>
  <sheetFormatPr defaultColWidth="11.46875" defaultRowHeight="14.35" x14ac:dyDescent="0.5"/>
  <cols>
    <col min="2" max="2" width="27.64453125" bestFit="1" customWidth="1"/>
    <col min="12" max="12" width="20.17578125" bestFit="1" customWidth="1"/>
  </cols>
  <sheetData>
    <row r="3" spans="2:12" x14ac:dyDescent="0.5">
      <c r="B3" s="13"/>
      <c r="C3" s="425">
        <v>2016</v>
      </c>
      <c r="D3" s="425"/>
      <c r="E3" s="425"/>
      <c r="F3" s="426">
        <v>2025</v>
      </c>
      <c r="G3" s="426"/>
      <c r="H3" s="426"/>
      <c r="I3" s="426">
        <v>2030</v>
      </c>
      <c r="J3" s="426"/>
      <c r="K3" s="426"/>
      <c r="L3" s="105"/>
    </row>
    <row r="4" spans="2:12" ht="18.350000000000001" thickBot="1" x14ac:dyDescent="0.65">
      <c r="B4" s="138" t="s">
        <v>349</v>
      </c>
      <c r="C4" s="106" t="s">
        <v>56</v>
      </c>
      <c r="D4" s="106" t="s">
        <v>57</v>
      </c>
      <c r="E4" s="106" t="s">
        <v>58</v>
      </c>
      <c r="F4" s="106" t="s">
        <v>56</v>
      </c>
      <c r="G4" s="106" t="s">
        <v>57</v>
      </c>
      <c r="H4" s="106" t="s">
        <v>58</v>
      </c>
      <c r="I4" s="106" t="s">
        <v>56</v>
      </c>
      <c r="J4" s="106" t="s">
        <v>57</v>
      </c>
      <c r="K4" s="106" t="s">
        <v>58</v>
      </c>
      <c r="L4" s="106" t="s">
        <v>59</v>
      </c>
    </row>
    <row r="5" spans="2:12" x14ac:dyDescent="0.5">
      <c r="B5" s="18" t="s">
        <v>255</v>
      </c>
      <c r="C5" s="148">
        <f>'Overview 2016 (in)'!J6</f>
        <v>200</v>
      </c>
      <c r="D5" s="149">
        <f>'Overview 2016 (in)'!K6</f>
        <v>20</v>
      </c>
      <c r="E5" s="150">
        <f>'Overview 2016 (in)'!L6</f>
        <v>80</v>
      </c>
      <c r="F5" s="148">
        <f t="shared" ref="F5:F15" si="0">IFERROR(C5*H5/E5,0)</f>
        <v>200</v>
      </c>
      <c r="G5" s="149">
        <f t="shared" ref="G5:G15" si="1">IFERROR(D5*H5/E5, 0)</f>
        <v>20</v>
      </c>
      <c r="H5" s="150">
        <f>E5</f>
        <v>80</v>
      </c>
      <c r="I5" s="148">
        <f>IFERROR(F5*K5/H5,0)</f>
        <v>200</v>
      </c>
      <c r="J5" s="149">
        <f>IFERROR(G5*K5/H5, 0)</f>
        <v>20</v>
      </c>
      <c r="K5" s="150">
        <f>H5</f>
        <v>80</v>
      </c>
      <c r="L5" s="21" t="s">
        <v>256</v>
      </c>
    </row>
    <row r="6" spans="2:12" x14ac:dyDescent="0.5">
      <c r="B6" s="3" t="s">
        <v>257</v>
      </c>
      <c r="C6" s="151">
        <f>'Overview 2016 (in)'!J7</f>
        <v>10000</v>
      </c>
      <c r="D6" s="152">
        <f>'Overview 2016 (in)'!K7</f>
        <v>5000</v>
      </c>
      <c r="E6" s="153">
        <f>'Overview 2016 (in)'!L7</f>
        <v>7500</v>
      </c>
      <c r="F6" s="151">
        <f t="shared" si="0"/>
        <v>10000</v>
      </c>
      <c r="G6" s="152">
        <f t="shared" si="1"/>
        <v>5000</v>
      </c>
      <c r="H6" s="153">
        <f>E6</f>
        <v>7500</v>
      </c>
      <c r="I6" s="151">
        <f t="shared" ref="I6:I15" si="2">IFERROR(F6*K6/H6,0)</f>
        <v>10000</v>
      </c>
      <c r="J6" s="152">
        <f t="shared" ref="J6:J13" si="3">IFERROR(G6*K6/H6, 0)</f>
        <v>5000</v>
      </c>
      <c r="K6" s="153">
        <f>H6</f>
        <v>7500</v>
      </c>
      <c r="L6" s="22" t="s">
        <v>258</v>
      </c>
    </row>
    <row r="7" spans="2:12" x14ac:dyDescent="0.5">
      <c r="B7" s="18" t="s">
        <v>259</v>
      </c>
      <c r="C7" s="148">
        <f>'Overview 2016 (in)'!J8</f>
        <v>1000000</v>
      </c>
      <c r="D7" s="149">
        <f>'Overview 2016 (in)'!K8</f>
        <v>100000</v>
      </c>
      <c r="E7" s="141">
        <f>'Overview 2016 (in)'!L8</f>
        <v>200000</v>
      </c>
      <c r="F7" s="148">
        <f t="shared" ca="1" si="0"/>
        <v>1304773.1838292445</v>
      </c>
      <c r="G7" s="149">
        <f t="shared" ca="1" si="1"/>
        <v>130477.31838292444</v>
      </c>
      <c r="H7" s="141">
        <f ca="1">INDIRECT(ADDRESS(ROW($B6),COLUMN(E$4),1,,$B$4))</f>
        <v>260954.63676584887</v>
      </c>
      <c r="I7" s="148">
        <f ca="1">IFERROR(F7*K7/H7,0)</f>
        <v>1512589.7248551107</v>
      </c>
      <c r="J7" s="149">
        <f ca="1">IFERROR(G7*K7/H7, 0)</f>
        <v>151258.97248551107</v>
      </c>
      <c r="K7" s="141">
        <f ca="1">INDIRECT(ADDRESS(ROW($B6),COLUMN($F4),1,,$B$4))</f>
        <v>302517.94497102214</v>
      </c>
      <c r="L7" s="21" t="s">
        <v>105</v>
      </c>
    </row>
    <row r="8" spans="2:12" x14ac:dyDescent="0.5">
      <c r="B8" s="3" t="s">
        <v>260</v>
      </c>
      <c r="C8" s="151">
        <f>'Overview 2016 (in)'!J9</f>
        <v>25</v>
      </c>
      <c r="D8" s="152">
        <f>'Overview 2016 (in)'!K9</f>
        <v>15</v>
      </c>
      <c r="E8" s="142">
        <f>'Overview 2016 (in)'!L9</f>
        <v>20</v>
      </c>
      <c r="F8" s="151">
        <f t="shared" ca="1" si="0"/>
        <v>32.619329595731109</v>
      </c>
      <c r="G8" s="152">
        <f t="shared" ca="1" si="1"/>
        <v>19.571597757438663</v>
      </c>
      <c r="H8" s="142">
        <f ca="1">INDIRECT(ADDRESS(ROW($B7),COLUMN(E$4),1,,$B$4))</f>
        <v>26.095463676584885</v>
      </c>
      <c r="I8" s="151">
        <f ca="1">IFERROR(F8*K8/H8,0)</f>
        <v>37.814743121377774</v>
      </c>
      <c r="J8" s="152">
        <f ca="1">IFERROR(G8*K8/H8, 0)</f>
        <v>22.688845872826661</v>
      </c>
      <c r="K8" s="142">
        <f ca="1">INDIRECT(ADDRESS(ROW($B7),COLUMN($F4),1,,$B$4))</f>
        <v>30.251794497102214</v>
      </c>
      <c r="L8" s="22" t="s">
        <v>64</v>
      </c>
    </row>
    <row r="9" spans="2:12" x14ac:dyDescent="0.5">
      <c r="B9" s="18" t="s">
        <v>81</v>
      </c>
      <c r="C9" s="148">
        <f>'Overview 2016 (in)'!J10</f>
        <v>90</v>
      </c>
      <c r="D9" s="149">
        <f>'Overview 2016 (in)'!K10</f>
        <v>75</v>
      </c>
      <c r="E9" s="150">
        <f>'Overview 2016 (in)'!L10</f>
        <v>85</v>
      </c>
      <c r="F9" s="148">
        <f t="shared" si="0"/>
        <v>90</v>
      </c>
      <c r="G9" s="149">
        <f t="shared" si="1"/>
        <v>75</v>
      </c>
      <c r="H9" s="150">
        <f>E9</f>
        <v>85</v>
      </c>
      <c r="I9" s="148">
        <f t="shared" si="2"/>
        <v>90</v>
      </c>
      <c r="J9" s="149">
        <f t="shared" si="3"/>
        <v>75</v>
      </c>
      <c r="K9" s="150">
        <f>H9</f>
        <v>85</v>
      </c>
      <c r="L9" s="21" t="s">
        <v>66</v>
      </c>
    </row>
    <row r="10" spans="2:12" x14ac:dyDescent="0.5">
      <c r="B10" s="3" t="s">
        <v>65</v>
      </c>
      <c r="C10" s="151">
        <f>'Overview 2016 (in)'!J11</f>
        <v>99</v>
      </c>
      <c r="D10" s="152">
        <f>'Overview 2016 (in)'!K11</f>
        <v>70</v>
      </c>
      <c r="E10" s="142">
        <f>'Overview 2016 (in)'!L11</f>
        <v>84</v>
      </c>
      <c r="F10" s="151">
        <f t="shared" ca="1" si="0"/>
        <v>101.35714285714286</v>
      </c>
      <c r="G10" s="152">
        <f t="shared" ca="1" si="1"/>
        <v>71.666666666666671</v>
      </c>
      <c r="H10" s="142">
        <f ca="1">INDIRECT(ADDRESS(ROW($B8),COLUMN(E$4),1,,$B$4))</f>
        <v>86</v>
      </c>
      <c r="I10" s="151">
        <f ca="1">IFERROR(F10*K10/H10,0)</f>
        <v>102.53571428571429</v>
      </c>
      <c r="J10" s="152">
        <f ca="1">IFERROR(G10*K10/H10, 0)</f>
        <v>72.5</v>
      </c>
      <c r="K10" s="142">
        <f ca="1">INDIRECT(ADDRESS(ROW($B8),COLUMN($F4),1,,$B$4))</f>
        <v>87</v>
      </c>
      <c r="L10" s="22" t="s">
        <v>66</v>
      </c>
    </row>
    <row r="11" spans="2:12" x14ac:dyDescent="0.5">
      <c r="B11" s="18" t="s">
        <v>137</v>
      </c>
      <c r="C11" s="148">
        <f>'Overview 2016 (in)'!J12</f>
        <v>20</v>
      </c>
      <c r="D11" s="149">
        <f>'Overview 2016 (in)'!K12</f>
        <v>100</v>
      </c>
      <c r="E11" s="150">
        <f>'Overview 2016 (in)'!L12</f>
        <v>60</v>
      </c>
      <c r="F11" s="148">
        <f t="shared" si="0"/>
        <v>20</v>
      </c>
      <c r="G11" s="149">
        <f t="shared" si="1"/>
        <v>100</v>
      </c>
      <c r="H11" s="150">
        <f>E11</f>
        <v>60</v>
      </c>
      <c r="I11" s="148">
        <f t="shared" si="2"/>
        <v>20</v>
      </c>
      <c r="J11" s="149">
        <f t="shared" si="3"/>
        <v>100</v>
      </c>
      <c r="K11" s="150">
        <f>H11</f>
        <v>60</v>
      </c>
      <c r="L11" s="21" t="s">
        <v>261</v>
      </c>
    </row>
    <row r="12" spans="2:12" x14ac:dyDescent="0.5">
      <c r="B12" s="28" t="s">
        <v>262</v>
      </c>
      <c r="C12" s="151" t="str">
        <f>'Overview 2016 (in)'!J13</f>
        <v>&lt; 0,004</v>
      </c>
      <c r="D12" s="152" t="str">
        <f>'Overview 2016 (in)'!K13</f>
        <v>sec</v>
      </c>
      <c r="E12" s="153">
        <f>'Overview 2016 (in)'!L13</f>
        <v>0.05</v>
      </c>
      <c r="F12" s="151">
        <f t="shared" si="0"/>
        <v>0</v>
      </c>
      <c r="G12" s="152">
        <f t="shared" si="1"/>
        <v>0</v>
      </c>
      <c r="H12" s="153">
        <f>E12</f>
        <v>0.05</v>
      </c>
      <c r="I12" s="151">
        <f t="shared" si="2"/>
        <v>0</v>
      </c>
      <c r="J12" s="152">
        <f t="shared" si="3"/>
        <v>0</v>
      </c>
      <c r="K12" s="153">
        <f>H12</f>
        <v>0.05</v>
      </c>
      <c r="L12" s="88" t="s">
        <v>265</v>
      </c>
    </row>
    <row r="13" spans="2:12" x14ac:dyDescent="0.5">
      <c r="B13" s="89" t="s">
        <v>266</v>
      </c>
      <c r="C13" s="154">
        <f>'Overview 2016 (in)'!J14</f>
        <v>0</v>
      </c>
      <c r="D13" s="149">
        <f>'Overview 2016 (in)'!K14</f>
        <v>0</v>
      </c>
      <c r="E13" s="150">
        <f>'Overview 2016 (in)'!L14</f>
        <v>0</v>
      </c>
      <c r="F13" s="154">
        <f t="shared" si="0"/>
        <v>0</v>
      </c>
      <c r="G13" s="149">
        <f t="shared" si="1"/>
        <v>0</v>
      </c>
      <c r="H13" s="150">
        <f>E13</f>
        <v>0</v>
      </c>
      <c r="I13" s="154">
        <f t="shared" si="2"/>
        <v>0</v>
      </c>
      <c r="J13" s="149">
        <f t="shared" si="3"/>
        <v>0</v>
      </c>
      <c r="K13" s="150">
        <f>H13</f>
        <v>0</v>
      </c>
      <c r="L13" s="21" t="s">
        <v>64</v>
      </c>
    </row>
    <row r="14" spans="2:12" x14ac:dyDescent="0.5">
      <c r="B14" s="28" t="s">
        <v>267</v>
      </c>
      <c r="C14" s="151">
        <f>'Overview 2016 (in)'!J15</f>
        <v>1500</v>
      </c>
      <c r="D14" s="152">
        <f>'Overview 2016 (in)'!K15</f>
        <v>6000</v>
      </c>
      <c r="E14" s="143">
        <f>'Overview 2016 (in)'!L15</f>
        <v>3000</v>
      </c>
      <c r="F14" s="151">
        <f t="shared" ca="1" si="0"/>
        <v>1140.3465879818475</v>
      </c>
      <c r="G14" s="152">
        <f t="shared" ca="1" si="1"/>
        <v>4561.38635192739</v>
      </c>
      <c r="H14" s="143">
        <f ca="1">IF(CELL("format",INDIRECT(ADDRESS(ROW($B4),COLUMN(E$4),1,,$B$4)))="W0-",INDIRECT(ADDRESS(ROW($B4),COLUMN(E$4),1,,$B$4))*'Overview 2016 (in)'!$O$7,INDIRECT(ADDRESS(ROW($B4),COLUMN(E$4),1,,$B$4)))</f>
        <v>2280.693175963695</v>
      </c>
      <c r="I14" s="151">
        <f t="shared" ca="1" si="2"/>
        <v>979.254416190911</v>
      </c>
      <c r="J14" s="152">
        <f t="shared" ref="J14:J15" ca="1" si="4">IFERROR(G14*K14/H14,0)</f>
        <v>3917.017664763644</v>
      </c>
      <c r="K14" s="143">
        <f ca="1">IF(CELL("format",INDIRECT(ADDRESS(ROW($B4),COLUMN($F4),1,,$B$4)))="W0-",INDIRECT(ADDRESS(ROW($B4),COLUMN($F4),1,,$B$4))*'Overview 2016 (in)'!$O$7,INDIRECT(ADDRESS(ROW($B4),COLUMN($F4),1,,$B$4)))</f>
        <v>1958.508832381822</v>
      </c>
      <c r="L14" s="88" t="s">
        <v>268</v>
      </c>
    </row>
    <row r="15" spans="2:12" x14ac:dyDescent="0.5">
      <c r="B15" s="89" t="s">
        <v>269</v>
      </c>
      <c r="C15" s="149">
        <f>'Overview 2016 (in)'!J16</f>
        <v>315</v>
      </c>
      <c r="D15" s="149">
        <f>'Overview 2016 (in)'!K16</f>
        <v>1050</v>
      </c>
      <c r="E15" s="141">
        <f>'Overview 2016 (in)'!L16</f>
        <v>300</v>
      </c>
      <c r="F15" s="149">
        <f t="shared" ca="1" si="0"/>
        <v>239.47278347618794</v>
      </c>
      <c r="G15" s="149">
        <f t="shared" ca="1" si="1"/>
        <v>798.24261158729325</v>
      </c>
      <c r="H15" s="141">
        <f ca="1">IF(CELL("format",INDIRECT(ADDRESS(ROW($B5),COLUMN(E$4),1,,$B$4)))="W0-",INDIRECT(ADDRESS(ROW($B5),COLUMN(E$4),1,,$B$4))*'Overview 2016 (in)'!$O$7,INDIRECT(ADDRESS(ROW($B5),COLUMN(E$4),1,,$B$4)))</f>
        <v>228.0693175963695</v>
      </c>
      <c r="I15" s="149">
        <f t="shared" ca="1" si="2"/>
        <v>205.6434274000913</v>
      </c>
      <c r="J15" s="149">
        <f t="shared" ca="1" si="4"/>
        <v>685.47809133363774</v>
      </c>
      <c r="K15" s="141">
        <f ca="1">IF(CELL("format",INDIRECT(ADDRESS(ROW($B5),COLUMN($F4),1,,$B$4)))="W0-",INDIRECT(ADDRESS(ROW($B5),COLUMN($F4),1,,$B$4))*'Overview 2016 (in)'!$O$7,INDIRECT(ADDRESS(ROW($B5),COLUMN($F4),1,,$B$4)))</f>
        <v>195.85088323818221</v>
      </c>
      <c r="L15" s="21" t="s">
        <v>61</v>
      </c>
    </row>
    <row r="16" spans="2:12" ht="14.7" thickBot="1" x14ac:dyDescent="0.55000000000000004">
      <c r="B16" s="245" t="s">
        <v>51</v>
      </c>
      <c r="C16" s="251"/>
      <c r="D16" s="251"/>
      <c r="E16" s="252"/>
      <c r="F16" s="251"/>
      <c r="G16" s="251"/>
      <c r="H16" s="252"/>
      <c r="I16" s="251"/>
      <c r="J16" s="251"/>
      <c r="K16" s="252"/>
      <c r="L16" s="135" t="s">
        <v>74</v>
      </c>
    </row>
    <row r="17" spans="2:3" x14ac:dyDescent="0.5">
      <c r="C17" s="111"/>
    </row>
    <row r="18" spans="2:3" ht="18" x14ac:dyDescent="0.6">
      <c r="B18" s="1"/>
    </row>
  </sheetData>
  <mergeCells count="3">
    <mergeCell ref="C3:E3"/>
    <mergeCell ref="F3:H3"/>
    <mergeCell ref="I3:K3"/>
  </mergeCells>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D5E1E-8ACD-404A-87CB-6E5684ABBD31}">
  <dimension ref="A1:Z178"/>
  <sheetViews>
    <sheetView showGridLines="0" zoomScale="70" zoomScaleNormal="70" workbookViewId="0"/>
  </sheetViews>
  <sheetFormatPr defaultColWidth="8.64453125" defaultRowHeight="14.35" x14ac:dyDescent="0.5"/>
  <sheetData>
    <row r="1" spans="1:26" x14ac:dyDescent="0.5">
      <c r="A1" s="124"/>
      <c r="B1" s="124"/>
    </row>
    <row r="2" spans="1:26" x14ac:dyDescent="0.5">
      <c r="A2" s="124"/>
      <c r="B2" s="296" t="s">
        <v>5</v>
      </c>
      <c r="C2" s="295"/>
      <c r="D2" s="295"/>
      <c r="E2" s="295"/>
      <c r="F2" s="295"/>
      <c r="G2" s="295"/>
      <c r="H2" s="295"/>
      <c r="I2" s="295"/>
      <c r="J2" s="295"/>
      <c r="K2" s="295"/>
      <c r="L2" s="295"/>
      <c r="M2" s="295"/>
      <c r="N2" s="295"/>
      <c r="O2" s="295"/>
      <c r="P2" s="295"/>
      <c r="Q2" s="295"/>
      <c r="R2" s="295"/>
      <c r="S2" s="295"/>
      <c r="T2" s="295"/>
      <c r="U2" s="295"/>
      <c r="V2" s="295"/>
      <c r="W2" s="295"/>
      <c r="X2" s="295"/>
      <c r="Y2" s="295"/>
      <c r="Z2" s="295"/>
    </row>
    <row r="3" spans="1:26" x14ac:dyDescent="0.5">
      <c r="A3" s="124"/>
      <c r="B3" s="124"/>
    </row>
    <row r="4" spans="1:26" x14ac:dyDescent="0.5">
      <c r="A4" s="124"/>
      <c r="D4" t="s">
        <v>6</v>
      </c>
    </row>
    <row r="5" spans="1:26" x14ac:dyDescent="0.5">
      <c r="A5" s="124"/>
      <c r="D5" t="s">
        <v>7</v>
      </c>
    </row>
    <row r="6" spans="1:26" x14ac:dyDescent="0.5">
      <c r="A6" s="124"/>
    </row>
    <row r="7" spans="1:26" x14ac:dyDescent="0.5">
      <c r="A7" s="124"/>
      <c r="D7" s="282" t="s">
        <v>8</v>
      </c>
      <c r="G7" s="164" t="s">
        <v>9</v>
      </c>
    </row>
    <row r="8" spans="1:26" x14ac:dyDescent="0.5">
      <c r="A8" s="124"/>
    </row>
    <row r="9" spans="1:26" x14ac:dyDescent="0.5">
      <c r="B9" s="294" t="s">
        <v>10</v>
      </c>
      <c r="C9" s="294"/>
      <c r="D9" s="294"/>
      <c r="E9" s="294"/>
      <c r="F9" s="294"/>
      <c r="G9" s="294"/>
      <c r="H9" s="294"/>
      <c r="I9" s="294"/>
      <c r="J9" s="294"/>
      <c r="K9" s="294"/>
      <c r="L9" s="294"/>
      <c r="M9" s="294"/>
      <c r="N9" s="294"/>
      <c r="O9" s="294"/>
      <c r="P9" s="294"/>
      <c r="Q9" s="294"/>
      <c r="R9" s="294"/>
      <c r="S9" s="294"/>
      <c r="T9" s="294"/>
      <c r="U9" s="294"/>
      <c r="V9" s="294"/>
      <c r="W9" s="294"/>
      <c r="X9" s="294"/>
      <c r="Y9" s="294"/>
      <c r="Z9" s="294"/>
    </row>
    <row r="10" spans="1:26" x14ac:dyDescent="0.5">
      <c r="B10" s="283" t="s">
        <v>11</v>
      </c>
    </row>
    <row r="11" spans="1:26" x14ac:dyDescent="0.5">
      <c r="B11" s="283" t="s">
        <v>12</v>
      </c>
    </row>
    <row r="12" spans="1:26" x14ac:dyDescent="0.5">
      <c r="B12" s="283" t="s">
        <v>13</v>
      </c>
    </row>
    <row r="13" spans="1:26" x14ac:dyDescent="0.5">
      <c r="B13" s="283" t="s">
        <v>14</v>
      </c>
    </row>
    <row r="14" spans="1:26" x14ac:dyDescent="0.5">
      <c r="C14" s="164"/>
    </row>
    <row r="16" spans="1:26" x14ac:dyDescent="0.5">
      <c r="B16" s="294" t="s">
        <v>15</v>
      </c>
      <c r="C16" s="294"/>
      <c r="D16" s="294"/>
      <c r="E16" s="294"/>
      <c r="F16" s="294"/>
      <c r="G16" s="294"/>
      <c r="H16" s="294"/>
      <c r="I16" s="294"/>
      <c r="J16" s="294"/>
      <c r="K16" s="294"/>
      <c r="L16" s="294"/>
      <c r="M16" s="294"/>
      <c r="N16" s="294"/>
      <c r="O16" s="294"/>
      <c r="P16" s="294"/>
      <c r="Q16" s="294"/>
      <c r="R16" s="294"/>
      <c r="S16" s="294"/>
      <c r="T16" s="294"/>
      <c r="U16" s="294"/>
      <c r="V16" s="294"/>
      <c r="W16" s="294"/>
      <c r="X16" s="294"/>
      <c r="Y16" s="294"/>
      <c r="Z16" s="294"/>
    </row>
    <row r="17" spans="2:26" x14ac:dyDescent="0.5">
      <c r="B17" s="283" t="s">
        <v>16</v>
      </c>
    </row>
    <row r="18" spans="2:26" x14ac:dyDescent="0.5">
      <c r="B18" s="283" t="s">
        <v>17</v>
      </c>
    </row>
    <row r="23" spans="2:26" x14ac:dyDescent="0.5">
      <c r="B23" s="294" t="s">
        <v>18</v>
      </c>
      <c r="C23" s="294"/>
      <c r="D23" s="294"/>
      <c r="E23" s="294"/>
      <c r="F23" s="294"/>
      <c r="G23" s="294"/>
      <c r="H23" s="294"/>
      <c r="I23" s="294"/>
      <c r="J23" s="294"/>
      <c r="K23" s="294"/>
      <c r="L23" s="294"/>
      <c r="M23" s="294"/>
      <c r="N23" s="294"/>
      <c r="O23" s="294"/>
      <c r="P23" s="294"/>
      <c r="Q23" s="294"/>
      <c r="R23" s="294"/>
      <c r="S23" s="294"/>
      <c r="T23" s="294"/>
      <c r="U23" s="294"/>
      <c r="V23" s="294"/>
      <c r="W23" s="294"/>
      <c r="X23" s="294"/>
      <c r="Y23" s="294"/>
      <c r="Z23" s="294"/>
    </row>
    <row r="24" spans="2:26" x14ac:dyDescent="0.5">
      <c r="B24" s="283" t="s">
        <v>19</v>
      </c>
    </row>
    <row r="29" spans="2:26" x14ac:dyDescent="0.5">
      <c r="D29" s="10" t="s">
        <v>20</v>
      </c>
    </row>
    <row r="31" spans="2:26" x14ac:dyDescent="0.5">
      <c r="B31" s="294" t="s">
        <v>21</v>
      </c>
      <c r="C31" s="294"/>
      <c r="D31" s="294"/>
      <c r="E31" s="294"/>
      <c r="F31" s="294"/>
      <c r="G31" s="294"/>
      <c r="H31" s="294"/>
      <c r="I31" s="294"/>
      <c r="J31" s="294"/>
      <c r="K31" s="294"/>
      <c r="L31" s="294"/>
      <c r="M31" s="294"/>
      <c r="N31" s="294"/>
      <c r="O31" s="294"/>
      <c r="P31" s="294"/>
      <c r="Q31" s="294"/>
      <c r="R31" s="294"/>
      <c r="S31" s="294"/>
      <c r="T31" s="294"/>
      <c r="U31" s="294"/>
      <c r="V31" s="294"/>
      <c r="W31" s="294"/>
      <c r="X31" s="294"/>
      <c r="Y31" s="294"/>
      <c r="Z31" s="294"/>
    </row>
    <row r="32" spans="2:26" x14ac:dyDescent="0.5">
      <c r="B32" s="283" t="s">
        <v>22</v>
      </c>
    </row>
    <row r="37" spans="2:26" x14ac:dyDescent="0.5">
      <c r="D37" s="10" t="s">
        <v>23</v>
      </c>
    </row>
    <row r="40" spans="2:26" x14ac:dyDescent="0.5">
      <c r="B40" s="294" t="s">
        <v>24</v>
      </c>
      <c r="C40" s="294"/>
      <c r="D40" s="294"/>
      <c r="E40" s="294"/>
      <c r="F40" s="294"/>
      <c r="G40" s="294"/>
      <c r="H40" s="294"/>
      <c r="I40" s="294"/>
      <c r="J40" s="294"/>
      <c r="K40" s="294"/>
      <c r="L40" s="294"/>
      <c r="M40" s="294"/>
      <c r="N40" s="294"/>
      <c r="O40" s="294"/>
      <c r="P40" s="294"/>
      <c r="Q40" s="294"/>
      <c r="R40" s="294"/>
      <c r="S40" s="294"/>
      <c r="T40" s="294"/>
      <c r="U40" s="294"/>
      <c r="V40" s="294"/>
      <c r="W40" s="294"/>
      <c r="X40" s="294"/>
      <c r="Y40" s="294"/>
      <c r="Z40" s="294"/>
    </row>
    <row r="41" spans="2:26" x14ac:dyDescent="0.5">
      <c r="B41" s="283" t="s">
        <v>25</v>
      </c>
    </row>
    <row r="47" spans="2:26" x14ac:dyDescent="0.5">
      <c r="D47" s="10" t="s">
        <v>26</v>
      </c>
    </row>
    <row r="49" spans="2:26" x14ac:dyDescent="0.5">
      <c r="B49" s="294" t="s">
        <v>27</v>
      </c>
      <c r="C49" s="294"/>
      <c r="D49" s="294"/>
      <c r="E49" s="294"/>
      <c r="F49" s="294"/>
      <c r="G49" s="294"/>
      <c r="H49" s="294"/>
      <c r="I49" s="294"/>
      <c r="J49" s="294"/>
      <c r="K49" s="294"/>
      <c r="L49" s="294"/>
      <c r="M49" s="294"/>
      <c r="N49" s="294"/>
      <c r="O49" s="294"/>
      <c r="P49" s="294"/>
      <c r="Q49" s="294"/>
      <c r="R49" s="294"/>
      <c r="S49" s="294"/>
      <c r="T49" s="294"/>
      <c r="U49" s="294"/>
      <c r="V49" s="294"/>
      <c r="W49" s="294"/>
      <c r="X49" s="294"/>
      <c r="Y49" s="294"/>
      <c r="Z49" s="294"/>
    </row>
    <row r="50" spans="2:26" x14ac:dyDescent="0.5">
      <c r="B50" s="283" t="s">
        <v>28</v>
      </c>
    </row>
    <row r="55" spans="2:26" x14ac:dyDescent="0.5">
      <c r="D55" s="10" t="s">
        <v>29</v>
      </c>
      <c r="E55" s="10"/>
      <c r="F55" s="10"/>
      <c r="G55" s="10"/>
      <c r="H55" s="10"/>
      <c r="I55" s="10"/>
      <c r="J55" s="10"/>
      <c r="K55" s="10"/>
      <c r="L55" s="10"/>
      <c r="M55" s="10"/>
      <c r="N55" s="10"/>
      <c r="O55" s="10"/>
      <c r="P55" s="10"/>
      <c r="Q55" s="10"/>
      <c r="R55" s="10"/>
      <c r="S55" s="10"/>
      <c r="T55" s="10"/>
    </row>
    <row r="56" spans="2:26" x14ac:dyDescent="0.5">
      <c r="D56" s="10" t="s">
        <v>30</v>
      </c>
      <c r="E56" s="10"/>
      <c r="F56" s="10"/>
      <c r="G56" s="10"/>
      <c r="H56" s="10"/>
      <c r="I56" s="10"/>
      <c r="J56" s="10"/>
      <c r="K56" s="10"/>
      <c r="L56" s="10"/>
      <c r="M56" s="10"/>
      <c r="N56" s="10"/>
      <c r="O56" s="10"/>
      <c r="P56" s="10"/>
      <c r="Q56" s="10"/>
      <c r="R56" s="10"/>
      <c r="S56" s="10"/>
      <c r="T56" s="10"/>
    </row>
    <row r="58" spans="2:26" x14ac:dyDescent="0.5">
      <c r="B58" s="294" t="s">
        <v>31</v>
      </c>
      <c r="C58" s="294"/>
      <c r="D58" s="294"/>
      <c r="E58" s="294"/>
      <c r="F58" s="294"/>
      <c r="G58" s="294"/>
      <c r="H58" s="294"/>
      <c r="I58" s="294"/>
      <c r="J58" s="294"/>
      <c r="K58" s="294"/>
      <c r="L58" s="294"/>
      <c r="M58" s="294"/>
      <c r="N58" s="294"/>
      <c r="O58" s="294"/>
      <c r="P58" s="294"/>
      <c r="Q58" s="294"/>
      <c r="R58" s="294"/>
      <c r="S58" s="294"/>
      <c r="T58" s="294"/>
      <c r="U58" s="294"/>
      <c r="V58" s="294"/>
      <c r="W58" s="294"/>
      <c r="X58" s="294"/>
      <c r="Y58" s="294"/>
      <c r="Z58" s="294"/>
    </row>
    <row r="59" spans="2:26" x14ac:dyDescent="0.5">
      <c r="B59" s="283" t="s">
        <v>32</v>
      </c>
    </row>
    <row r="70" spans="2:26" x14ac:dyDescent="0.5">
      <c r="D70" s="10" t="s">
        <v>33</v>
      </c>
    </row>
    <row r="71" spans="2:26" x14ac:dyDescent="0.5">
      <c r="D71" s="10"/>
    </row>
    <row r="72" spans="2:26" x14ac:dyDescent="0.5">
      <c r="B72" s="294" t="s">
        <v>34</v>
      </c>
      <c r="C72" s="294"/>
      <c r="D72" s="294"/>
      <c r="E72" s="294"/>
      <c r="F72" s="294"/>
      <c r="G72" s="294"/>
      <c r="H72" s="294"/>
      <c r="I72" s="294"/>
      <c r="J72" s="294"/>
      <c r="K72" s="294"/>
      <c r="L72" s="294"/>
      <c r="M72" s="294"/>
      <c r="N72" s="294"/>
      <c r="O72" s="294"/>
      <c r="P72" s="294"/>
      <c r="Q72" s="294"/>
      <c r="R72" s="294"/>
      <c r="S72" s="294"/>
      <c r="T72" s="294"/>
      <c r="U72" s="294"/>
      <c r="V72" s="294"/>
      <c r="W72" s="294"/>
      <c r="X72" s="294"/>
      <c r="Y72" s="294"/>
      <c r="Z72" s="294"/>
    </row>
    <row r="73" spans="2:26" x14ac:dyDescent="0.5">
      <c r="B73" s="283" t="s">
        <v>35</v>
      </c>
    </row>
    <row r="74" spans="2:26" x14ac:dyDescent="0.5">
      <c r="D74" s="10"/>
    </row>
    <row r="75" spans="2:26" x14ac:dyDescent="0.5">
      <c r="D75" s="10"/>
    </row>
    <row r="76" spans="2:26" x14ac:dyDescent="0.5">
      <c r="D76" s="10"/>
    </row>
    <row r="77" spans="2:26" x14ac:dyDescent="0.5">
      <c r="D77" s="10"/>
    </row>
    <row r="78" spans="2:26" x14ac:dyDescent="0.5">
      <c r="D78" s="10"/>
    </row>
    <row r="79" spans="2:26" x14ac:dyDescent="0.5">
      <c r="D79" s="10"/>
    </row>
    <row r="80" spans="2:26" x14ac:dyDescent="0.5">
      <c r="D80" s="10"/>
    </row>
    <row r="81" spans="2:26" x14ac:dyDescent="0.5">
      <c r="D81" s="10"/>
    </row>
    <row r="82" spans="2:26" x14ac:dyDescent="0.5">
      <c r="D82" s="10" t="s">
        <v>36</v>
      </c>
    </row>
    <row r="84" spans="2:26" x14ac:dyDescent="0.5">
      <c r="B84" s="294" t="s">
        <v>37</v>
      </c>
      <c r="C84" s="294"/>
      <c r="D84" s="294"/>
      <c r="E84" s="294"/>
      <c r="F84" s="294"/>
      <c r="G84" s="294"/>
      <c r="H84" s="294"/>
      <c r="I84" s="294"/>
      <c r="J84" s="294"/>
      <c r="K84" s="294"/>
      <c r="L84" s="294"/>
      <c r="M84" s="294"/>
      <c r="N84" s="294"/>
      <c r="O84" s="294"/>
      <c r="P84" s="294"/>
      <c r="Q84" s="294"/>
      <c r="R84" s="294"/>
      <c r="S84" s="294"/>
      <c r="T84" s="294"/>
      <c r="U84" s="294"/>
      <c r="V84" s="294"/>
      <c r="W84" s="294"/>
      <c r="X84" s="294"/>
      <c r="Y84" s="294"/>
      <c r="Z84" s="294"/>
    </row>
    <row r="85" spans="2:26" x14ac:dyDescent="0.5">
      <c r="B85" s="283" t="s">
        <v>38</v>
      </c>
    </row>
    <row r="93" spans="2:26" x14ac:dyDescent="0.5">
      <c r="B93" s="294" t="s">
        <v>39</v>
      </c>
      <c r="C93" s="294"/>
      <c r="D93" s="294"/>
      <c r="E93" s="294"/>
      <c r="F93" s="294"/>
      <c r="G93" s="294"/>
      <c r="H93" s="294"/>
      <c r="I93" s="294"/>
      <c r="J93" s="294"/>
      <c r="K93" s="294"/>
      <c r="L93" s="294"/>
      <c r="M93" s="294"/>
      <c r="N93" s="294"/>
      <c r="O93" s="294"/>
      <c r="P93" s="294"/>
      <c r="Q93" s="294"/>
      <c r="R93" s="294"/>
      <c r="S93" s="294"/>
      <c r="T93" s="294"/>
      <c r="U93" s="294"/>
      <c r="V93" s="294"/>
      <c r="W93" s="294"/>
      <c r="X93" s="294"/>
      <c r="Y93" s="294"/>
      <c r="Z93" s="294"/>
    </row>
    <row r="94" spans="2:26" x14ac:dyDescent="0.5">
      <c r="B94" s="283" t="s">
        <v>40</v>
      </c>
      <c r="C94" s="299"/>
      <c r="D94" s="299"/>
      <c r="E94" s="299"/>
      <c r="F94" s="299"/>
      <c r="G94" s="299"/>
      <c r="H94" s="299"/>
      <c r="I94" s="299"/>
      <c r="J94" s="299"/>
      <c r="K94" s="299"/>
      <c r="L94" s="299"/>
      <c r="M94" s="299"/>
      <c r="N94" s="299"/>
      <c r="O94" s="299"/>
      <c r="P94" s="299"/>
      <c r="Q94" s="299"/>
      <c r="R94" s="299"/>
      <c r="S94" s="299"/>
      <c r="T94" s="299"/>
      <c r="U94" s="299"/>
      <c r="V94" s="299"/>
      <c r="W94" s="299"/>
      <c r="X94" s="299"/>
      <c r="Y94" s="299"/>
      <c r="Z94" s="299"/>
    </row>
    <row r="95" spans="2:26" x14ac:dyDescent="0.5">
      <c r="B95" s="283" t="s">
        <v>41</v>
      </c>
    </row>
    <row r="126" spans="2:26" x14ac:dyDescent="0.5">
      <c r="B126" s="294" t="s">
        <v>42</v>
      </c>
      <c r="C126" s="294"/>
      <c r="D126" s="294"/>
      <c r="E126" s="294"/>
      <c r="F126" s="294"/>
      <c r="G126" s="294"/>
      <c r="H126" s="294"/>
      <c r="I126" s="294"/>
      <c r="J126" s="294"/>
      <c r="K126" s="294"/>
      <c r="L126" s="294"/>
      <c r="M126" s="294"/>
      <c r="N126" s="294"/>
      <c r="O126" s="294"/>
      <c r="P126" s="294"/>
      <c r="Q126" s="294"/>
      <c r="R126" s="294"/>
      <c r="S126" s="294"/>
      <c r="T126" s="294"/>
      <c r="U126" s="294"/>
      <c r="V126" s="294"/>
      <c r="W126" s="294"/>
      <c r="X126" s="294"/>
      <c r="Y126" s="294"/>
      <c r="Z126" s="294"/>
    </row>
    <row r="127" spans="2:26" x14ac:dyDescent="0.5">
      <c r="B127" s="283" t="s">
        <v>40</v>
      </c>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row>
    <row r="128" spans="2:26" x14ac:dyDescent="0.5">
      <c r="B128" s="283" t="s">
        <v>43</v>
      </c>
    </row>
    <row r="151" spans="2:26" x14ac:dyDescent="0.5">
      <c r="B151" s="294" t="s">
        <v>44</v>
      </c>
      <c r="C151" s="294"/>
      <c r="D151" s="294"/>
      <c r="E151" s="294"/>
      <c r="F151" s="294"/>
      <c r="G151" s="294"/>
      <c r="H151" s="294"/>
      <c r="I151" s="294"/>
      <c r="J151" s="294"/>
      <c r="K151" s="294"/>
      <c r="L151" s="294"/>
      <c r="M151" s="294"/>
      <c r="N151" s="294"/>
      <c r="O151" s="294"/>
      <c r="P151" s="294"/>
      <c r="Q151" s="294"/>
      <c r="R151" s="294"/>
      <c r="S151" s="294"/>
      <c r="T151" s="294"/>
      <c r="U151" s="294"/>
      <c r="V151" s="294"/>
      <c r="W151" s="294"/>
      <c r="X151" s="294"/>
      <c r="Y151" s="294"/>
      <c r="Z151" s="294"/>
    </row>
    <row r="152" spans="2:26" x14ac:dyDescent="0.5">
      <c r="B152" s="283" t="s">
        <v>45</v>
      </c>
    </row>
    <row r="153" spans="2:26" x14ac:dyDescent="0.5">
      <c r="B153" s="283" t="s">
        <v>46</v>
      </c>
    </row>
    <row r="154" spans="2:26" x14ac:dyDescent="0.5">
      <c r="B154" t="s">
        <v>47</v>
      </c>
    </row>
    <row r="178" spans="2:26" x14ac:dyDescent="0.5">
      <c r="B178" s="295"/>
      <c r="C178" s="295"/>
      <c r="D178" s="295"/>
      <c r="E178" s="295"/>
      <c r="F178" s="295"/>
      <c r="G178" s="295"/>
      <c r="H178" s="295"/>
      <c r="I178" s="295"/>
      <c r="J178" s="295"/>
      <c r="K178" s="295"/>
      <c r="L178" s="295"/>
      <c r="M178" s="295"/>
      <c r="N178" s="295"/>
      <c r="O178" s="295"/>
      <c r="P178" s="295"/>
      <c r="Q178" s="295"/>
      <c r="R178" s="295"/>
      <c r="S178" s="295"/>
      <c r="T178" s="295"/>
      <c r="U178" s="295"/>
      <c r="V178" s="295"/>
      <c r="W178" s="295"/>
      <c r="X178" s="295"/>
      <c r="Y178" s="295"/>
      <c r="Z178" s="295"/>
    </row>
  </sheetData>
  <sheetProtection algorithmName="SHA-512" hashValue="CG+vZGoSSsHehVQwXOwVQl+lSEiTuY5A20Uvr+GeiIt9eO/EqXW84/BEtlCRqtF9LiObiCE5hyWEGANDuankPQ==" saltValue="19HiB3cTnYgi0MbRLDYXdQ==" spinCount="100000" sheet="1" objects="1" scenarios="1"/>
  <hyperlinks>
    <hyperlink ref="G7" r:id="rId1" xr:uid="{0FD451F2-37CF-47D5-9C29-FDC4B95D699B}"/>
  </hyperlinks>
  <pageMargins left="0.7" right="0.7" top="0.75" bottom="0.75" header="0.3" footer="0.3"/>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4">
    <tabColor theme="6" tint="0.39997558519241921"/>
  </sheetPr>
  <dimension ref="A2:L73"/>
  <sheetViews>
    <sheetView workbookViewId="0">
      <selection activeCell="I74" sqref="I74"/>
    </sheetView>
  </sheetViews>
  <sheetFormatPr defaultColWidth="9.17578125" defaultRowHeight="14.35" x14ac:dyDescent="0.5"/>
  <cols>
    <col min="2" max="2" width="26.52734375" customWidth="1"/>
    <col min="3" max="8" width="10.64453125" customWidth="1"/>
    <col min="9" max="9" width="20.29296875" customWidth="1"/>
    <col min="10" max="10" width="13.8203125" customWidth="1"/>
    <col min="11" max="16" width="12.64453125" customWidth="1"/>
  </cols>
  <sheetData>
    <row r="2" spans="2:12" ht="18.350000000000001" thickBot="1" x14ac:dyDescent="0.65">
      <c r="B2" s="1" t="s">
        <v>238</v>
      </c>
      <c r="C2" s="9"/>
      <c r="K2" s="1" t="s">
        <v>286</v>
      </c>
    </row>
    <row r="3" spans="2:12" x14ac:dyDescent="0.5">
      <c r="B3" s="4"/>
      <c r="C3" s="4">
        <v>2016</v>
      </c>
      <c r="D3" s="4">
        <v>2020</v>
      </c>
      <c r="E3" s="4">
        <v>2025</v>
      </c>
      <c r="F3" s="4">
        <v>2030</v>
      </c>
      <c r="G3" s="4" t="s">
        <v>59</v>
      </c>
      <c r="H3" s="3"/>
      <c r="I3" s="4" t="s">
        <v>287</v>
      </c>
      <c r="J3" s="4" t="s">
        <v>288</v>
      </c>
      <c r="K3" s="4" t="s">
        <v>289</v>
      </c>
      <c r="L3" s="4" t="s">
        <v>290</v>
      </c>
    </row>
    <row r="4" spans="2:12" x14ac:dyDescent="0.5">
      <c r="B4" s="3" t="s">
        <v>267</v>
      </c>
      <c r="C4" s="32">
        <f>'Overview 2016 (in)'!F31</f>
        <v>194.25</v>
      </c>
      <c r="D4" s="32">
        <v>173</v>
      </c>
      <c r="E4" s="32">
        <v>154</v>
      </c>
      <c r="F4" s="32">
        <v>140</v>
      </c>
      <c r="G4" t="s">
        <v>268</v>
      </c>
      <c r="I4" s="35" t="s">
        <v>350</v>
      </c>
      <c r="J4">
        <v>2</v>
      </c>
      <c r="K4">
        <v>2</v>
      </c>
      <c r="L4">
        <v>2</v>
      </c>
    </row>
    <row r="5" spans="2:12" x14ac:dyDescent="0.5">
      <c r="B5" s="3" t="s">
        <v>269</v>
      </c>
      <c r="C5" s="32">
        <f>'Overview 2016 (in)'!F32</f>
        <v>0</v>
      </c>
      <c r="D5" s="32">
        <v>0</v>
      </c>
      <c r="E5" s="32">
        <v>0</v>
      </c>
      <c r="F5" s="32">
        <v>0</v>
      </c>
      <c r="G5" t="s">
        <v>61</v>
      </c>
      <c r="I5" s="35" t="s">
        <v>350</v>
      </c>
      <c r="J5">
        <v>1</v>
      </c>
      <c r="K5">
        <v>1</v>
      </c>
      <c r="L5">
        <v>1</v>
      </c>
    </row>
    <row r="6" spans="2:12" x14ac:dyDescent="0.5">
      <c r="B6" s="3" t="s">
        <v>259</v>
      </c>
      <c r="C6">
        <f>'Overview 2016 (in)'!F24</f>
        <v>1500</v>
      </c>
      <c r="D6">
        <v>1800</v>
      </c>
      <c r="E6">
        <v>2500</v>
      </c>
      <c r="F6">
        <v>3000</v>
      </c>
      <c r="G6" t="s">
        <v>105</v>
      </c>
      <c r="H6" t="s">
        <v>47</v>
      </c>
      <c r="I6" s="35" t="s">
        <v>350</v>
      </c>
      <c r="J6" t="s">
        <v>351</v>
      </c>
      <c r="K6" t="s">
        <v>351</v>
      </c>
      <c r="L6" t="s">
        <v>351</v>
      </c>
    </row>
    <row r="7" spans="2:12" x14ac:dyDescent="0.5">
      <c r="B7" s="3" t="s">
        <v>260</v>
      </c>
      <c r="C7">
        <f>'Overview 2016 (in)'!F25</f>
        <v>9</v>
      </c>
      <c r="D7">
        <v>10</v>
      </c>
      <c r="E7">
        <v>12</v>
      </c>
      <c r="F7">
        <v>15</v>
      </c>
      <c r="G7" t="s">
        <v>64</v>
      </c>
      <c r="I7" s="35" t="s">
        <v>350</v>
      </c>
      <c r="J7" t="s">
        <v>351</v>
      </c>
      <c r="K7" t="s">
        <v>351</v>
      </c>
      <c r="L7" t="s">
        <v>351</v>
      </c>
    </row>
    <row r="8" spans="2:12" x14ac:dyDescent="0.5">
      <c r="B8" s="3" t="s">
        <v>65</v>
      </c>
      <c r="C8">
        <f>'Overview 2016 (in)'!F27</f>
        <v>82</v>
      </c>
      <c r="D8">
        <v>82</v>
      </c>
      <c r="E8">
        <v>82</v>
      </c>
      <c r="F8">
        <v>82</v>
      </c>
      <c r="G8" t="s">
        <v>66</v>
      </c>
      <c r="I8" s="35" t="s">
        <v>350</v>
      </c>
      <c r="J8" t="s">
        <v>351</v>
      </c>
      <c r="K8" t="s">
        <v>351</v>
      </c>
      <c r="L8" t="s">
        <v>351</v>
      </c>
    </row>
    <row r="9" spans="2:12" x14ac:dyDescent="0.5">
      <c r="B9" s="3" t="s">
        <v>331</v>
      </c>
      <c r="C9">
        <v>1</v>
      </c>
      <c r="D9">
        <v>1</v>
      </c>
      <c r="E9">
        <v>1</v>
      </c>
      <c r="F9">
        <v>1</v>
      </c>
      <c r="G9" t="s">
        <v>74</v>
      </c>
      <c r="I9" s="35">
        <v>7</v>
      </c>
      <c r="J9">
        <v>7</v>
      </c>
      <c r="K9">
        <v>7</v>
      </c>
      <c r="L9">
        <v>7</v>
      </c>
    </row>
    <row r="10" spans="2:12" ht="14.7" thickBot="1" x14ac:dyDescent="0.55000000000000004">
      <c r="B10" s="5" t="s">
        <v>334</v>
      </c>
      <c r="C10" s="6">
        <v>10</v>
      </c>
      <c r="D10" s="6">
        <v>10</v>
      </c>
      <c r="E10" s="6">
        <v>10</v>
      </c>
      <c r="F10" s="6">
        <v>10</v>
      </c>
      <c r="G10" s="6" t="s">
        <v>74</v>
      </c>
      <c r="I10" s="36" t="s">
        <v>352</v>
      </c>
      <c r="J10" s="6" t="s">
        <v>352</v>
      </c>
      <c r="K10" s="6" t="s">
        <v>352</v>
      </c>
      <c r="L10" s="6" t="s">
        <v>352</v>
      </c>
    </row>
    <row r="12" spans="2:12" x14ac:dyDescent="0.5">
      <c r="K12" s="2" t="s">
        <v>294</v>
      </c>
    </row>
    <row r="13" spans="2:12" ht="18.350000000000001" thickBot="1" x14ac:dyDescent="0.65">
      <c r="B13" s="1" t="s">
        <v>295</v>
      </c>
      <c r="K13" s="11" t="s">
        <v>296</v>
      </c>
    </row>
    <row r="14" spans="2:12" x14ac:dyDescent="0.5">
      <c r="B14" s="7" t="s">
        <v>297</v>
      </c>
      <c r="C14" s="7" t="s">
        <v>298</v>
      </c>
      <c r="D14" s="7" t="s">
        <v>299</v>
      </c>
      <c r="E14" s="7" t="s">
        <v>300</v>
      </c>
      <c r="F14" s="46" t="s">
        <v>301</v>
      </c>
      <c r="G14" s="7"/>
      <c r="H14" s="46" t="s">
        <v>84</v>
      </c>
      <c r="K14" s="40" t="s">
        <v>302</v>
      </c>
      <c r="L14" s="40"/>
    </row>
    <row r="15" spans="2:12" x14ac:dyDescent="0.5">
      <c r="B15">
        <v>1</v>
      </c>
      <c r="C15" t="s">
        <v>303</v>
      </c>
      <c r="D15" t="s">
        <v>304</v>
      </c>
      <c r="E15" s="164" t="s">
        <v>305</v>
      </c>
      <c r="F15" s="80" t="s">
        <v>306</v>
      </c>
      <c r="H15" s="22" t="s">
        <v>353</v>
      </c>
      <c r="K15" s="53"/>
    </row>
    <row r="16" spans="2:12" x14ac:dyDescent="0.5">
      <c r="B16">
        <v>2</v>
      </c>
      <c r="C16" t="s">
        <v>307</v>
      </c>
      <c r="D16" t="s">
        <v>308</v>
      </c>
      <c r="E16" s="164" t="s">
        <v>309</v>
      </c>
      <c r="F16" s="80" t="s">
        <v>310</v>
      </c>
      <c r="H16" s="22" t="s">
        <v>353</v>
      </c>
    </row>
    <row r="17" spans="1:11" x14ac:dyDescent="0.5">
      <c r="B17">
        <v>3</v>
      </c>
      <c r="C17" t="s">
        <v>354</v>
      </c>
      <c r="D17" t="s">
        <v>355</v>
      </c>
      <c r="E17" s="164" t="s">
        <v>356</v>
      </c>
      <c r="F17" s="80" t="s">
        <v>357</v>
      </c>
      <c r="H17" s="22" t="s">
        <v>353</v>
      </c>
    </row>
    <row r="18" spans="1:11" x14ac:dyDescent="0.5">
      <c r="B18">
        <v>4</v>
      </c>
      <c r="C18" t="s">
        <v>311</v>
      </c>
      <c r="D18" t="s">
        <v>312</v>
      </c>
      <c r="E18" s="164" t="s">
        <v>313</v>
      </c>
      <c r="F18" s="80" t="s">
        <v>314</v>
      </c>
      <c r="H18" s="22" t="s">
        <v>353</v>
      </c>
    </row>
    <row r="19" spans="1:11" x14ac:dyDescent="0.5">
      <c r="B19">
        <v>5</v>
      </c>
      <c r="C19" t="s">
        <v>358</v>
      </c>
      <c r="D19" t="s">
        <v>359</v>
      </c>
      <c r="E19" s="164" t="s">
        <v>360</v>
      </c>
      <c r="F19" s="80" t="s">
        <v>361</v>
      </c>
      <c r="H19" s="22" t="s">
        <v>362</v>
      </c>
    </row>
    <row r="20" spans="1:11" x14ac:dyDescent="0.5">
      <c r="B20">
        <v>6</v>
      </c>
      <c r="C20" t="s">
        <v>315</v>
      </c>
      <c r="D20" t="s">
        <v>316</v>
      </c>
      <c r="E20" s="207" t="s">
        <v>317</v>
      </c>
      <c r="F20" s="45" t="s">
        <v>318</v>
      </c>
      <c r="H20" s="22" t="s">
        <v>353</v>
      </c>
    </row>
    <row r="21" spans="1:11" x14ac:dyDescent="0.5">
      <c r="B21">
        <v>7</v>
      </c>
      <c r="C21" t="s">
        <v>363</v>
      </c>
      <c r="D21" t="s">
        <v>364</v>
      </c>
      <c r="E21" s="207" t="s">
        <v>365</v>
      </c>
      <c r="F21" s="45" t="s">
        <v>366</v>
      </c>
      <c r="G21" s="115"/>
      <c r="H21" s="22" t="s">
        <v>353</v>
      </c>
    </row>
    <row r="22" spans="1:11" x14ac:dyDescent="0.5">
      <c r="E22" s="207"/>
      <c r="F22" s="250"/>
    </row>
    <row r="23" spans="1:11" x14ac:dyDescent="0.5">
      <c r="A23" s="68" t="s">
        <v>319</v>
      </c>
    </row>
    <row r="24" spans="1:11" ht="14.7" thickBot="1" x14ac:dyDescent="0.55000000000000004">
      <c r="A24" s="68" t="s">
        <v>320</v>
      </c>
    </row>
    <row r="25" spans="1:11" x14ac:dyDescent="0.5">
      <c r="A25" s="3" t="s">
        <v>321</v>
      </c>
      <c r="B25" s="4"/>
      <c r="C25" s="4">
        <v>2016</v>
      </c>
      <c r="D25" s="29">
        <v>2020</v>
      </c>
      <c r="E25" s="4">
        <v>2023</v>
      </c>
      <c r="F25" s="29">
        <v>2025</v>
      </c>
      <c r="G25" s="29">
        <v>2030</v>
      </c>
      <c r="H25" s="4">
        <v>2033</v>
      </c>
      <c r="I25" s="4" t="s">
        <v>59</v>
      </c>
      <c r="J25" s="16" t="s">
        <v>322</v>
      </c>
      <c r="K25" s="4" t="s">
        <v>323</v>
      </c>
    </row>
    <row r="26" spans="1:11" x14ac:dyDescent="0.5">
      <c r="B26" s="3" t="s">
        <v>267</v>
      </c>
      <c r="C26" s="32">
        <f>C4</f>
        <v>194.25</v>
      </c>
      <c r="D26" s="54">
        <f>$C26*(1-$J26)^(D$25-$C$25)</f>
        <v>152.63970653325995</v>
      </c>
      <c r="E26" s="48"/>
      <c r="F26" s="54">
        <f>$C26*(1-$J26)^(F$25-$C$25)</f>
        <v>112.92774110183177</v>
      </c>
      <c r="G26" s="58">
        <f>65*Financials!D5</f>
        <v>83.547557840616975</v>
      </c>
      <c r="H26" s="47"/>
      <c r="I26" t="s">
        <v>268</v>
      </c>
      <c r="J26" s="168">
        <f>1-(G26/C26)^(1/(G$25-C$25))</f>
        <v>5.8486343588674772E-2</v>
      </c>
      <c r="K26" s="44"/>
    </row>
    <row r="27" spans="1:11" x14ac:dyDescent="0.5">
      <c r="B27" s="3" t="s">
        <v>269</v>
      </c>
      <c r="C27" s="32">
        <f>C5</f>
        <v>0</v>
      </c>
      <c r="D27" s="54">
        <v>0</v>
      </c>
      <c r="E27" s="48"/>
      <c r="F27" s="54">
        <v>0</v>
      </c>
      <c r="G27" s="58">
        <f>50*Financials!D5</f>
        <v>64.267352185089976</v>
      </c>
      <c r="H27" s="47"/>
      <c r="I27" t="s">
        <v>61</v>
      </c>
      <c r="J27" s="168"/>
      <c r="K27" s="44"/>
    </row>
    <row r="28" spans="1:11" x14ac:dyDescent="0.5">
      <c r="B28" s="3" t="s">
        <v>259</v>
      </c>
      <c r="C28">
        <f>C6</f>
        <v>1500</v>
      </c>
      <c r="D28" s="54">
        <f>$C28*(1-$J28)^(D$25-$C$25)</f>
        <v>1870.8193776161006</v>
      </c>
      <c r="E28" s="48"/>
      <c r="F28" s="54">
        <f>$C28*(1-$J28)^(F$25-$C$25)</f>
        <v>2465.7986489679824</v>
      </c>
      <c r="G28" s="3">
        <v>3250</v>
      </c>
      <c r="H28" s="51"/>
      <c r="I28" t="s">
        <v>105</v>
      </c>
      <c r="J28" s="168">
        <f>1-(G28/C28)^(1/(G$25-C$25))</f>
        <v>-5.6781373993924689E-2</v>
      </c>
      <c r="K28" s="44"/>
    </row>
    <row r="29" spans="1:11" x14ac:dyDescent="0.5">
      <c r="B29" s="3" t="s">
        <v>260</v>
      </c>
      <c r="C29">
        <f>C7</f>
        <v>9</v>
      </c>
      <c r="D29" s="54">
        <f>$C29*(1-$J29)^(D$25-$C$25)</f>
        <v>10.414246823205755</v>
      </c>
      <c r="E29" s="48"/>
      <c r="F29" s="54">
        <f>$C29*(1-$J29)^(F$25-$C$25)</f>
        <v>12.498548009592403</v>
      </c>
      <c r="G29" s="3">
        <v>15</v>
      </c>
      <c r="H29" s="51"/>
      <c r="I29" t="s">
        <v>64</v>
      </c>
      <c r="J29" s="168">
        <f>1-(G29/C29)^(1/(G$25-C$25))</f>
        <v>-3.716138563040583E-2</v>
      </c>
      <c r="K29" s="44"/>
    </row>
    <row r="30" spans="1:11" ht="14.7" thickBot="1" x14ac:dyDescent="0.55000000000000004">
      <c r="B30" s="5" t="s">
        <v>65</v>
      </c>
      <c r="C30" s="6">
        <f>C8</f>
        <v>82</v>
      </c>
      <c r="D30" s="55">
        <f>$C30*(1-$J30)^(D$25-$C$25)</f>
        <v>82</v>
      </c>
      <c r="E30" s="49"/>
      <c r="F30" s="55">
        <f>$C30*(1-$J30)^(F$25-$C$25)</f>
        <v>82</v>
      </c>
      <c r="G30" s="5">
        <v>82</v>
      </c>
      <c r="H30" s="52"/>
      <c r="I30" s="6" t="s">
        <v>66</v>
      </c>
      <c r="J30" s="169">
        <f>1-(G30/C30)^(1/(G$25-C$25))</f>
        <v>0</v>
      </c>
      <c r="K30" s="166"/>
    </row>
    <row r="31" spans="1:11" ht="14.7" thickBot="1" x14ac:dyDescent="0.55000000000000004">
      <c r="J31" s="168"/>
      <c r="K31" s="44"/>
    </row>
    <row r="32" spans="1:11" x14ac:dyDescent="0.5">
      <c r="A32" s="3" t="s">
        <v>325</v>
      </c>
      <c r="B32" s="4"/>
      <c r="C32" s="4">
        <v>2016</v>
      </c>
      <c r="D32" s="29">
        <v>2020</v>
      </c>
      <c r="E32" s="4">
        <v>2023</v>
      </c>
      <c r="F32" s="29">
        <v>2025</v>
      </c>
      <c r="G32" s="29">
        <v>2030</v>
      </c>
      <c r="H32" s="4">
        <v>2033</v>
      </c>
      <c r="I32" s="4" t="s">
        <v>59</v>
      </c>
      <c r="J32" s="170"/>
      <c r="K32" s="167"/>
    </row>
    <row r="33" spans="1:11" x14ac:dyDescent="0.5">
      <c r="B33" s="3" t="s">
        <v>267</v>
      </c>
      <c r="C33" s="32">
        <f>C4</f>
        <v>194.25</v>
      </c>
      <c r="D33" s="54">
        <f>$C33*(1-$J33)^(D$25-$C$25)</f>
        <v>173.47328176592305</v>
      </c>
      <c r="E33" s="32">
        <f>120*Financials!D7</f>
        <v>159.36254980079681</v>
      </c>
      <c r="F33" s="54">
        <f>$E33*(1-$K33)^(F$25-$E$25)</f>
        <v>153.65617593667363</v>
      </c>
      <c r="G33" s="54">
        <f>$E33*(1-$K33)^(G$25-$E$25)</f>
        <v>140.26825610083108</v>
      </c>
      <c r="H33" s="32">
        <f>100*Financials!D7</f>
        <v>132.80212483399734</v>
      </c>
      <c r="I33" t="s">
        <v>268</v>
      </c>
      <c r="J33" s="168">
        <f>1-(E33/C33)^(1/(E$25-C$25))</f>
        <v>2.7884446441895472E-2</v>
      </c>
      <c r="K33" s="44">
        <f>1-(H33/E33)^(1/(H$25-E$25))</f>
        <v>1.806695543808734E-2</v>
      </c>
    </row>
    <row r="34" spans="1:11" x14ac:dyDescent="0.5">
      <c r="B34" s="3" t="s">
        <v>269</v>
      </c>
      <c r="C34" s="32">
        <f>C5</f>
        <v>0</v>
      </c>
      <c r="D34" s="57"/>
      <c r="E34" s="48"/>
      <c r="F34" s="57"/>
      <c r="G34" s="57"/>
      <c r="H34" s="48"/>
      <c r="I34" t="s">
        <v>61</v>
      </c>
      <c r="J34" s="168"/>
      <c r="K34" s="44"/>
    </row>
    <row r="35" spans="1:11" x14ac:dyDescent="0.5">
      <c r="B35" s="3" t="s">
        <v>259</v>
      </c>
      <c r="C35">
        <f>C6</f>
        <v>1500</v>
      </c>
      <c r="D35" s="57"/>
      <c r="E35" s="48"/>
      <c r="F35" s="57"/>
      <c r="G35" s="57"/>
      <c r="H35" s="51"/>
      <c r="I35" t="s">
        <v>105</v>
      </c>
      <c r="J35" s="168"/>
      <c r="K35" s="44"/>
    </row>
    <row r="36" spans="1:11" x14ac:dyDescent="0.5">
      <c r="B36" s="3" t="s">
        <v>260</v>
      </c>
      <c r="C36">
        <f>C7</f>
        <v>9</v>
      </c>
      <c r="D36" s="54">
        <f>$C36*(1-$J36)^(D$25-$C$25)</f>
        <v>9.5584978521729163</v>
      </c>
      <c r="E36" s="32">
        <v>10</v>
      </c>
      <c r="F36" s="54">
        <f>$E36*(1-$K36)^(F$25-$E$25)</f>
        <v>10</v>
      </c>
      <c r="G36" s="54">
        <f>$E36*(1-$K36)^(G$25-$E$25)</f>
        <v>10</v>
      </c>
      <c r="H36">
        <v>10</v>
      </c>
      <c r="I36" t="s">
        <v>64</v>
      </c>
      <c r="J36" s="168">
        <f>1-(E36/C36)^(1/(E$25-C$25))</f>
        <v>-1.5165346555491288E-2</v>
      </c>
      <c r="K36" s="44">
        <f>1-(H36/E36)^(1/(H$25-E$25))</f>
        <v>0</v>
      </c>
    </row>
    <row r="37" spans="1:11" ht="14.7" thickBot="1" x14ac:dyDescent="0.55000000000000004">
      <c r="B37" s="5" t="s">
        <v>65</v>
      </c>
      <c r="C37" s="6">
        <f>C8</f>
        <v>82</v>
      </c>
      <c r="D37" s="55">
        <f>$C37*(1-$J37)^(D$25-$C$25)</f>
        <v>80.851099317144403</v>
      </c>
      <c r="E37" s="33">
        <v>80</v>
      </c>
      <c r="F37" s="55">
        <f>$E37*(1-$K37)^(F$25-$E$25)</f>
        <v>80</v>
      </c>
      <c r="G37" s="55">
        <f>$E37*(1-$K37)^(G$25-$E$25)</f>
        <v>80</v>
      </c>
      <c r="H37" s="6">
        <v>80</v>
      </c>
      <c r="I37" s="6" t="s">
        <v>66</v>
      </c>
      <c r="J37" s="169">
        <f>1-(E37/C37)^(1/(E$25-C$25))</f>
        <v>3.5213017087269982E-3</v>
      </c>
      <c r="K37" s="166">
        <f>1-(H37/E37)^(1/(H$25-E$25))</f>
        <v>0</v>
      </c>
    </row>
    <row r="38" spans="1:11" ht="14.7" thickBot="1" x14ac:dyDescent="0.55000000000000004">
      <c r="J38" s="168"/>
      <c r="K38" s="44"/>
    </row>
    <row r="39" spans="1:11" x14ac:dyDescent="0.5">
      <c r="A39" s="3" t="s">
        <v>326</v>
      </c>
      <c r="B39" s="4"/>
      <c r="C39" s="4">
        <v>2016</v>
      </c>
      <c r="D39" s="29">
        <v>2020</v>
      </c>
      <c r="E39" s="4">
        <v>2023</v>
      </c>
      <c r="F39" s="29">
        <v>2025</v>
      </c>
      <c r="G39" s="29">
        <v>2030</v>
      </c>
      <c r="H39" s="4">
        <v>2033</v>
      </c>
      <c r="I39" s="4" t="s">
        <v>59</v>
      </c>
      <c r="J39" s="170"/>
      <c r="K39" s="167"/>
    </row>
    <row r="40" spans="1:11" x14ac:dyDescent="0.5">
      <c r="B40" s="3" t="s">
        <v>267</v>
      </c>
      <c r="C40" s="32">
        <f>C4</f>
        <v>194.25</v>
      </c>
      <c r="D40" s="57"/>
      <c r="E40" s="48"/>
      <c r="F40" s="57"/>
      <c r="G40" s="57"/>
      <c r="H40" s="48"/>
      <c r="I40" t="s">
        <v>268</v>
      </c>
      <c r="J40" s="168">
        <f>1-(H40/C40)^(1/(H$39-C$39))</f>
        <v>1</v>
      </c>
      <c r="K40" s="44"/>
    </row>
    <row r="41" spans="1:11" x14ac:dyDescent="0.5">
      <c r="B41" s="3" t="s">
        <v>269</v>
      </c>
      <c r="C41" s="32">
        <f>C5</f>
        <v>0</v>
      </c>
      <c r="D41" s="57"/>
      <c r="E41" s="48"/>
      <c r="F41" s="57"/>
      <c r="G41" s="57"/>
      <c r="H41" s="48"/>
      <c r="I41" t="s">
        <v>61</v>
      </c>
      <c r="J41" s="168"/>
      <c r="K41" s="44"/>
    </row>
    <row r="42" spans="1:11" x14ac:dyDescent="0.5">
      <c r="B42" s="3" t="s">
        <v>259</v>
      </c>
      <c r="C42">
        <f>C6</f>
        <v>1500</v>
      </c>
      <c r="D42" s="58">
        <v>3250</v>
      </c>
      <c r="E42" s="48"/>
      <c r="F42" s="54">
        <f>$D42*(1-$K42)^(F$25-$D$25)</f>
        <v>3250</v>
      </c>
      <c r="G42" s="58">
        <v>3250</v>
      </c>
      <c r="H42" s="51"/>
      <c r="I42" t="s">
        <v>105</v>
      </c>
      <c r="J42" s="168">
        <f>1-(H42/C42)^(1/(H$39-C$39))</f>
        <v>1</v>
      </c>
      <c r="K42" s="44">
        <f>1-(G42/D42)^(1/(G$25-D$25))</f>
        <v>0</v>
      </c>
    </row>
    <row r="43" spans="1:11" x14ac:dyDescent="0.5">
      <c r="B43" s="3" t="s">
        <v>260</v>
      </c>
      <c r="C43">
        <f>C7</f>
        <v>9</v>
      </c>
      <c r="D43" s="58">
        <v>15</v>
      </c>
      <c r="E43" s="48"/>
      <c r="F43" s="54">
        <f>$D43*(1-$K43)^(F$25-$D$25)</f>
        <v>15</v>
      </c>
      <c r="G43" s="58">
        <v>15</v>
      </c>
      <c r="H43" s="51"/>
      <c r="I43" t="s">
        <v>64</v>
      </c>
      <c r="J43" s="168">
        <f t="shared" ref="J43:J44" si="0">1-(H43/C43)^(1/(H$39-C$39))</f>
        <v>1</v>
      </c>
      <c r="K43" s="44">
        <f t="shared" ref="K43:K44" si="1">1-(G43/D43)^(1/(G$25-D$25))</f>
        <v>0</v>
      </c>
    </row>
    <row r="44" spans="1:11" ht="14.7" thickBot="1" x14ac:dyDescent="0.55000000000000004">
      <c r="B44" s="5" t="s">
        <v>65</v>
      </c>
      <c r="C44" s="33">
        <v>80</v>
      </c>
      <c r="D44" s="59">
        <v>81</v>
      </c>
      <c r="E44" s="49"/>
      <c r="F44" s="55">
        <f>$D44*(1-$K44)^(F$25-$D$25)</f>
        <v>81</v>
      </c>
      <c r="G44" s="59">
        <v>81</v>
      </c>
      <c r="H44" s="49"/>
      <c r="I44" s="6" t="s">
        <v>66</v>
      </c>
      <c r="J44" s="169">
        <f t="shared" si="0"/>
        <v>1</v>
      </c>
      <c r="K44" s="166">
        <f t="shared" si="1"/>
        <v>0</v>
      </c>
    </row>
    <row r="45" spans="1:11" ht="14.7" thickBot="1" x14ac:dyDescent="0.55000000000000004"/>
    <row r="46" spans="1:11" x14ac:dyDescent="0.5">
      <c r="A46" s="3" t="s">
        <v>327</v>
      </c>
      <c r="B46" s="4"/>
      <c r="C46" s="4">
        <v>2016</v>
      </c>
      <c r="D46" s="29">
        <v>2020</v>
      </c>
      <c r="E46" s="4">
        <v>2023</v>
      </c>
      <c r="F46" s="29">
        <v>2025</v>
      </c>
      <c r="G46" s="29">
        <v>2030</v>
      </c>
      <c r="H46" s="4">
        <v>2033</v>
      </c>
      <c r="I46" s="4" t="s">
        <v>59</v>
      </c>
      <c r="J46" s="170"/>
      <c r="K46" s="167"/>
    </row>
    <row r="47" spans="1:11" x14ac:dyDescent="0.5">
      <c r="B47" s="3" t="s">
        <v>267</v>
      </c>
      <c r="C47" s="32">
        <f>C4</f>
        <v>194.25</v>
      </c>
      <c r="D47" s="57"/>
      <c r="E47" s="48"/>
      <c r="F47" s="57"/>
      <c r="G47" s="57"/>
      <c r="H47" s="48"/>
      <c r="I47" t="s">
        <v>268</v>
      </c>
      <c r="J47" s="168">
        <f>1-(E47/C47)^(1/(E$46-C$46))</f>
        <v>1</v>
      </c>
      <c r="K47" s="44"/>
    </row>
    <row r="48" spans="1:11" x14ac:dyDescent="0.5">
      <c r="B48" s="3" t="s">
        <v>269</v>
      </c>
      <c r="C48" s="32">
        <f>C5</f>
        <v>0</v>
      </c>
      <c r="D48" s="57"/>
      <c r="E48" s="48"/>
      <c r="F48" s="57"/>
      <c r="G48" s="57"/>
      <c r="H48" s="48"/>
      <c r="I48" t="s">
        <v>61</v>
      </c>
      <c r="J48" s="168"/>
      <c r="K48" s="44"/>
    </row>
    <row r="49" spans="1:11" x14ac:dyDescent="0.5">
      <c r="B49" s="3" t="s">
        <v>259</v>
      </c>
      <c r="C49">
        <f>C6</f>
        <v>1500</v>
      </c>
      <c r="D49" s="54">
        <f>$C49*(1-$J49)^(D$25-$C$25)</f>
        <v>2008.4543869379859</v>
      </c>
      <c r="E49" s="32">
        <v>2500</v>
      </c>
      <c r="F49" s="54">
        <f>$E49*(1-$K49)^(F$25-$E$46)</f>
        <v>2500</v>
      </c>
      <c r="G49" s="58">
        <v>2500</v>
      </c>
      <c r="H49" s="51"/>
      <c r="I49" t="s">
        <v>105</v>
      </c>
      <c r="J49" s="168">
        <f t="shared" ref="J49:J51" si="2">1-(E49/C49)^(1/(E$46-C$46))</f>
        <v>-7.5703739842783557E-2</v>
      </c>
      <c r="K49" s="44">
        <f>1-(G49/E49)^(1/(G$46-E$46))</f>
        <v>0</v>
      </c>
    </row>
    <row r="50" spans="1:11" x14ac:dyDescent="0.5">
      <c r="B50" s="3" t="s">
        <v>260</v>
      </c>
      <c r="C50">
        <f>C7</f>
        <v>9</v>
      </c>
      <c r="D50" s="54">
        <f>$C50*(1-$J50)^(D$25-$C$25)</f>
        <v>11.10452877793746</v>
      </c>
      <c r="E50" s="32">
        <v>13</v>
      </c>
      <c r="F50" s="54">
        <f t="shared" ref="F50:F51" si="3">$E50*(1-$K50)^(F$25-$E$46)</f>
        <v>13.5425328302765</v>
      </c>
      <c r="G50" s="58">
        <v>15</v>
      </c>
      <c r="H50" s="51"/>
      <c r="I50" t="s">
        <v>64</v>
      </c>
      <c r="J50" s="168">
        <f t="shared" si="2"/>
        <v>-5.3936404957617201E-2</v>
      </c>
      <c r="K50" s="44">
        <f t="shared" ref="K50:K51" si="4">1-(G50/E50)^(1/(G$46-E$46))</f>
        <v>-2.0653366543536E-2</v>
      </c>
    </row>
    <row r="51" spans="1:11" ht="14.7" thickBot="1" x14ac:dyDescent="0.55000000000000004">
      <c r="B51" s="5" t="s">
        <v>65</v>
      </c>
      <c r="C51" s="33">
        <f>C8</f>
        <v>82</v>
      </c>
      <c r="D51" s="55">
        <f>$C51*(1-$J51)^(D$25-$C$25)</f>
        <v>84.820856299615656</v>
      </c>
      <c r="E51" s="33">
        <v>87</v>
      </c>
      <c r="F51" s="55">
        <f t="shared" si="3"/>
        <v>87.566797723710451</v>
      </c>
      <c r="G51" s="59">
        <v>89</v>
      </c>
      <c r="H51" s="49"/>
      <c r="I51" s="6" t="s">
        <v>66</v>
      </c>
      <c r="J51" s="169">
        <f t="shared" si="2"/>
        <v>-8.4914022147526413E-3</v>
      </c>
      <c r="K51" s="166">
        <f t="shared" si="4"/>
        <v>-3.2521698777869812E-3</v>
      </c>
    </row>
    <row r="52" spans="1:11" ht="14.7" thickBot="1" x14ac:dyDescent="0.55000000000000004">
      <c r="J52" s="168"/>
      <c r="K52" s="44"/>
    </row>
    <row r="53" spans="1:11" x14ac:dyDescent="0.5">
      <c r="A53" s="3" t="s">
        <v>345</v>
      </c>
      <c r="B53" s="4"/>
      <c r="C53" s="4">
        <v>2016</v>
      </c>
      <c r="D53" s="4">
        <v>2017</v>
      </c>
      <c r="E53" s="29">
        <v>2020</v>
      </c>
      <c r="F53" s="29">
        <v>2025</v>
      </c>
      <c r="G53" s="29">
        <v>2030</v>
      </c>
      <c r="H53" s="4">
        <v>2050</v>
      </c>
      <c r="I53" s="4" t="s">
        <v>59</v>
      </c>
      <c r="J53" s="170"/>
      <c r="K53" s="167"/>
    </row>
    <row r="54" spans="1:11" x14ac:dyDescent="0.5">
      <c r="B54" s="3" t="s">
        <v>267</v>
      </c>
      <c r="C54" s="92">
        <f>C4</f>
        <v>194.25</v>
      </c>
      <c r="D54" s="92">
        <v>550</v>
      </c>
      <c r="E54" s="102">
        <v>500</v>
      </c>
      <c r="F54" s="65">
        <f>$E54*(1-$K54)^(F$46-$E$46)</f>
        <v>469.2182342983487</v>
      </c>
      <c r="G54" s="65">
        <f>$E54*(1-$K54)^(G$46-$E$46)</f>
        <v>400.301366178291</v>
      </c>
      <c r="H54" s="47"/>
      <c r="I54" t="s">
        <v>268</v>
      </c>
      <c r="J54" s="168">
        <f>1-(D54/C54)^(1/(D$46-C$46))</f>
        <v>-0.29718051204312723</v>
      </c>
      <c r="K54" s="44">
        <f>1-(E54/D54)^(1/(E$46-D$46))</f>
        <v>3.1270693848535758E-2</v>
      </c>
    </row>
    <row r="55" spans="1:11" x14ac:dyDescent="0.5">
      <c r="B55" s="3" t="s">
        <v>269</v>
      </c>
      <c r="C55" s="92">
        <f t="shared" ref="C55:C58" si="5">C5</f>
        <v>0</v>
      </c>
      <c r="D55" s="47"/>
      <c r="E55" s="47"/>
      <c r="F55" s="47"/>
      <c r="G55" s="47"/>
      <c r="H55" s="47"/>
      <c r="I55" t="s">
        <v>61</v>
      </c>
      <c r="J55" s="168"/>
      <c r="K55" s="44"/>
    </row>
    <row r="56" spans="1:11" x14ac:dyDescent="0.5">
      <c r="B56" s="3" t="s">
        <v>259</v>
      </c>
      <c r="C56" s="92">
        <f t="shared" si="5"/>
        <v>1500</v>
      </c>
      <c r="D56" s="47"/>
      <c r="E56" s="47"/>
      <c r="F56" s="47"/>
      <c r="G56" s="47"/>
      <c r="H56" s="47"/>
      <c r="I56" t="s">
        <v>105</v>
      </c>
      <c r="J56" s="168"/>
      <c r="K56" s="44"/>
    </row>
    <row r="57" spans="1:11" x14ac:dyDescent="0.5">
      <c r="B57" s="3" t="s">
        <v>260</v>
      </c>
      <c r="C57" s="92">
        <f t="shared" si="5"/>
        <v>9</v>
      </c>
      <c r="D57" s="47"/>
      <c r="E57" s="47"/>
      <c r="F57" s="47"/>
      <c r="G57" s="47"/>
      <c r="H57" s="47"/>
      <c r="I57" t="s">
        <v>64</v>
      </c>
      <c r="J57" s="168"/>
      <c r="K57" s="44"/>
    </row>
    <row r="58" spans="1:11" ht="14.7" thickBot="1" x14ac:dyDescent="0.55000000000000004">
      <c r="B58" s="5" t="s">
        <v>65</v>
      </c>
      <c r="C58" s="93">
        <f t="shared" si="5"/>
        <v>82</v>
      </c>
      <c r="D58" s="171"/>
      <c r="E58" s="171"/>
      <c r="F58" s="171"/>
      <c r="G58" s="171"/>
      <c r="H58" s="171"/>
      <c r="I58" s="6" t="s">
        <v>66</v>
      </c>
      <c r="J58" s="169"/>
      <c r="K58" s="166"/>
    </row>
    <row r="59" spans="1:11" ht="14.7" thickBot="1" x14ac:dyDescent="0.55000000000000004"/>
    <row r="60" spans="1:11" x14ac:dyDescent="0.5">
      <c r="A60" s="3" t="s">
        <v>367</v>
      </c>
      <c r="B60" s="4"/>
      <c r="C60" s="4">
        <v>2016</v>
      </c>
      <c r="D60" s="29">
        <v>2020</v>
      </c>
      <c r="E60" s="223">
        <v>2021</v>
      </c>
      <c r="F60" s="29">
        <v>2025</v>
      </c>
      <c r="G60" s="29">
        <v>2030</v>
      </c>
      <c r="H60" s="4">
        <v>2050</v>
      </c>
      <c r="I60" s="4" t="s">
        <v>59</v>
      </c>
      <c r="J60" s="170"/>
      <c r="K60" s="167"/>
    </row>
    <row r="61" spans="1:11" x14ac:dyDescent="0.5">
      <c r="B61" s="3" t="s">
        <v>267</v>
      </c>
      <c r="C61" s="92">
        <f>C4</f>
        <v>194.25</v>
      </c>
      <c r="D61" s="54">
        <f>C61*(1-J61)^(D60-C60)</f>
        <v>315.37858759077972</v>
      </c>
      <c r="E61" s="102">
        <v>356</v>
      </c>
      <c r="F61" s="54">
        <f>E61*(1-$K61)^(F60-E60)</f>
        <v>338.58058591315648</v>
      </c>
      <c r="G61" s="212">
        <v>318</v>
      </c>
      <c r="H61" s="47"/>
      <c r="I61" t="s">
        <v>268</v>
      </c>
      <c r="J61" s="168">
        <f>1-(E61/C61)^(1/(E60-C60))</f>
        <v>-0.12880206205352418</v>
      </c>
      <c r="K61" s="44">
        <f>1-(G61/E61)^(1/(G60-E60))</f>
        <v>1.2463824821577041E-2</v>
      </c>
    </row>
    <row r="62" spans="1:11" x14ac:dyDescent="0.5">
      <c r="B62" s="3" t="s">
        <v>269</v>
      </c>
      <c r="C62" s="92">
        <f>C5</f>
        <v>0</v>
      </c>
      <c r="D62" s="47"/>
      <c r="E62" s="47"/>
      <c r="F62" s="47"/>
      <c r="G62" s="47"/>
      <c r="H62" s="47"/>
      <c r="I62" t="s">
        <v>61</v>
      </c>
      <c r="J62" s="168"/>
      <c r="K62" s="44"/>
    </row>
    <row r="63" spans="1:11" x14ac:dyDescent="0.5">
      <c r="B63" s="3" t="s">
        <v>259</v>
      </c>
      <c r="C63" s="92">
        <f>C6</f>
        <v>1500</v>
      </c>
      <c r="D63" s="47"/>
      <c r="E63" s="208">
        <v>1500</v>
      </c>
      <c r="F63" s="47"/>
      <c r="G63" s="208">
        <v>1500</v>
      </c>
      <c r="H63" s="47"/>
      <c r="I63" t="s">
        <v>105</v>
      </c>
      <c r="J63" s="168"/>
      <c r="K63" s="44"/>
    </row>
    <row r="64" spans="1:11" x14ac:dyDescent="0.5">
      <c r="B64" s="3" t="s">
        <v>260</v>
      </c>
      <c r="C64" s="92">
        <f>C7</f>
        <v>9</v>
      </c>
      <c r="D64" s="47"/>
      <c r="E64" s="208">
        <v>12</v>
      </c>
      <c r="F64" s="47"/>
      <c r="G64" s="208">
        <v>12</v>
      </c>
      <c r="H64" s="47"/>
      <c r="I64" t="s">
        <v>64</v>
      </c>
      <c r="J64" s="168"/>
      <c r="K64" s="44"/>
    </row>
    <row r="65" spans="1:11" ht="14.7" thickBot="1" x14ac:dyDescent="0.55000000000000004">
      <c r="B65" s="5" t="s">
        <v>65</v>
      </c>
      <c r="C65" s="93">
        <f>C8</f>
        <v>82</v>
      </c>
      <c r="D65" s="171"/>
      <c r="E65" s="211">
        <v>75</v>
      </c>
      <c r="F65" s="171"/>
      <c r="G65" s="211">
        <v>75</v>
      </c>
      <c r="H65" s="171"/>
      <c r="I65" s="6" t="s">
        <v>66</v>
      </c>
      <c r="J65" s="169"/>
      <c r="K65" s="166"/>
    </row>
    <row r="66" spans="1:11" ht="14.7" thickBot="1" x14ac:dyDescent="0.55000000000000004"/>
    <row r="67" spans="1:11" x14ac:dyDescent="0.5">
      <c r="A67" s="3" t="s">
        <v>368</v>
      </c>
      <c r="B67" s="4"/>
      <c r="C67" s="4">
        <v>2016</v>
      </c>
      <c r="D67" s="29">
        <v>2020</v>
      </c>
      <c r="E67" s="223">
        <v>2021</v>
      </c>
      <c r="F67" s="29">
        <v>2025</v>
      </c>
      <c r="G67" s="29">
        <v>2030</v>
      </c>
      <c r="H67" s="4">
        <v>2050</v>
      </c>
      <c r="I67" s="4" t="s">
        <v>59</v>
      </c>
      <c r="J67" s="170"/>
      <c r="K67" s="167"/>
    </row>
    <row r="68" spans="1:11" x14ac:dyDescent="0.5">
      <c r="B68" s="3" t="s">
        <v>267</v>
      </c>
      <c r="C68" s="92">
        <f>C4</f>
        <v>194.25</v>
      </c>
      <c r="D68" s="57"/>
      <c r="E68" s="256"/>
      <c r="F68" s="57"/>
      <c r="G68" s="57"/>
      <c r="H68" s="47"/>
      <c r="I68" t="s">
        <v>268</v>
      </c>
      <c r="J68" s="168">
        <f>1-(E68/C68)^(1/(E67-C67))</f>
        <v>1</v>
      </c>
      <c r="K68" s="44"/>
    </row>
    <row r="69" spans="1:11" x14ac:dyDescent="0.5">
      <c r="B69" s="3" t="s">
        <v>269</v>
      </c>
      <c r="C69" s="92">
        <f>C5</f>
        <v>0</v>
      </c>
      <c r="D69" s="47"/>
      <c r="E69" s="47"/>
      <c r="F69" s="47"/>
      <c r="G69" s="47"/>
      <c r="H69" s="47"/>
      <c r="I69" t="s">
        <v>61</v>
      </c>
      <c r="J69" s="168"/>
      <c r="K69" s="44"/>
    </row>
    <row r="70" spans="1:11" x14ac:dyDescent="0.5">
      <c r="B70" s="3" t="s">
        <v>259</v>
      </c>
      <c r="C70" s="92">
        <f>C6</f>
        <v>1500</v>
      </c>
      <c r="D70" s="47"/>
      <c r="E70" s="48"/>
      <c r="F70" s="47"/>
      <c r="G70" s="48"/>
      <c r="H70" s="47"/>
      <c r="I70" t="s">
        <v>105</v>
      </c>
      <c r="J70" s="168"/>
      <c r="K70" s="44"/>
    </row>
    <row r="71" spans="1:11" x14ac:dyDescent="0.5">
      <c r="B71" s="3" t="s">
        <v>260</v>
      </c>
      <c r="C71" s="92">
        <f>C7</f>
        <v>9</v>
      </c>
      <c r="D71" s="47"/>
      <c r="E71" s="48"/>
      <c r="F71" s="47"/>
      <c r="G71" s="48"/>
      <c r="H71" s="47"/>
      <c r="I71" t="s">
        <v>64</v>
      </c>
      <c r="J71" s="168"/>
      <c r="K71" s="44"/>
    </row>
    <row r="72" spans="1:11" x14ac:dyDescent="0.5">
      <c r="B72" s="3" t="s">
        <v>65</v>
      </c>
      <c r="C72" s="92">
        <f>C8</f>
        <v>82</v>
      </c>
      <c r="D72" s="47"/>
      <c r="E72" s="48"/>
      <c r="F72" s="47"/>
      <c r="G72" s="48"/>
      <c r="H72" s="47"/>
      <c r="I72" t="s">
        <v>66</v>
      </c>
      <c r="J72" s="168"/>
      <c r="K72" s="44"/>
    </row>
    <row r="73" spans="1:11" ht="14.7" thickBot="1" x14ac:dyDescent="0.55000000000000004">
      <c r="B73" s="5" t="s">
        <v>369</v>
      </c>
      <c r="C73" s="257"/>
      <c r="D73" s="171"/>
      <c r="E73" s="49"/>
      <c r="F73" s="258" t="s">
        <v>370</v>
      </c>
      <c r="G73" s="49"/>
      <c r="H73" s="171"/>
      <c r="I73" s="6" t="s">
        <v>74</v>
      </c>
      <c r="J73" s="169"/>
      <c r="K73" s="166"/>
    </row>
  </sheetData>
  <hyperlinks>
    <hyperlink ref="E17" r:id="rId1" xr:uid="{00000000-0004-0000-0E00-000002000000}"/>
    <hyperlink ref="E18" r:id="rId2" xr:uid="{00000000-0004-0000-0E00-000003000000}"/>
    <hyperlink ref="E19" r:id="rId3" xr:uid="{00000000-0004-0000-0E00-000004000000}"/>
    <hyperlink ref="E15" r:id="rId4" xr:uid="{90A33867-5B0C-4315-B444-7A5A9B14CA17}"/>
    <hyperlink ref="E20" r:id="rId5" xr:uid="{F3CC1A27-FD73-4C27-BD59-0BED129560ED}"/>
  </hyperlinks>
  <pageMargins left="0.7" right="0.7" top="0.75" bottom="0.75" header="0.3" footer="0.3"/>
  <pageSetup paperSize="9" orientation="portrait" r:id="rId6"/>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5"/>
  <dimension ref="B3:L18"/>
  <sheetViews>
    <sheetView workbookViewId="0">
      <selection activeCell="L17" sqref="L17"/>
    </sheetView>
  </sheetViews>
  <sheetFormatPr defaultColWidth="11.46875" defaultRowHeight="14.35" x14ac:dyDescent="0.5"/>
  <cols>
    <col min="2" max="2" width="27.64453125" bestFit="1" customWidth="1"/>
    <col min="12" max="12" width="20.17578125" bestFit="1" customWidth="1"/>
  </cols>
  <sheetData>
    <row r="3" spans="2:12" x14ac:dyDescent="0.5">
      <c r="C3" s="425">
        <v>2016</v>
      </c>
      <c r="D3" s="425"/>
      <c r="E3" s="425"/>
      <c r="F3" s="426">
        <v>2025</v>
      </c>
      <c r="G3" s="426"/>
      <c r="H3" s="426"/>
      <c r="I3" s="426">
        <v>2030</v>
      </c>
      <c r="J3" s="426"/>
      <c r="K3" s="426"/>
      <c r="L3" s="105"/>
    </row>
    <row r="4" spans="2:12" ht="18.350000000000001" thickBot="1" x14ac:dyDescent="0.65">
      <c r="B4" s="104" t="s">
        <v>371</v>
      </c>
      <c r="C4" s="106" t="s">
        <v>56</v>
      </c>
      <c r="D4" s="106" t="s">
        <v>57</v>
      </c>
      <c r="E4" s="106" t="s">
        <v>58</v>
      </c>
      <c r="F4" s="106" t="s">
        <v>56</v>
      </c>
      <c r="G4" s="106" t="s">
        <v>57</v>
      </c>
      <c r="H4" s="106" t="s">
        <v>58</v>
      </c>
      <c r="I4" s="106" t="s">
        <v>56</v>
      </c>
      <c r="J4" s="106" t="s">
        <v>57</v>
      </c>
      <c r="K4" s="106" t="s">
        <v>58</v>
      </c>
      <c r="L4" s="106" t="s">
        <v>59</v>
      </c>
    </row>
    <row r="5" spans="2:12" x14ac:dyDescent="0.5">
      <c r="B5" s="18" t="s">
        <v>255</v>
      </c>
      <c r="C5" s="81">
        <f>'Overview 2016 (in)'!D22</f>
        <v>100</v>
      </c>
      <c r="D5" s="19">
        <f>'Overview 2016 (in)'!E22</f>
        <v>50</v>
      </c>
      <c r="E5" s="20">
        <f>'Overview 2016 (in)'!F22</f>
        <v>80</v>
      </c>
      <c r="F5" s="81">
        <f t="shared" ref="F5:F15" si="0">IFERROR(C5*H5/E5,0)</f>
        <v>100</v>
      </c>
      <c r="G5" s="19">
        <f t="shared" ref="G5:G15" si="1">IFERROR(D5*H5/E5, 0)</f>
        <v>50</v>
      </c>
      <c r="H5" s="20">
        <f>E5</f>
        <v>80</v>
      </c>
      <c r="I5" s="81">
        <f>IFERROR(F5*K5/H5,0)</f>
        <v>100</v>
      </c>
      <c r="J5" s="19">
        <f>IFERROR(G5*K5/H5, 0)</f>
        <v>50</v>
      </c>
      <c r="K5" s="20">
        <f>H5</f>
        <v>80</v>
      </c>
      <c r="L5" s="21" t="s">
        <v>256</v>
      </c>
    </row>
    <row r="6" spans="2:12" x14ac:dyDescent="0.5">
      <c r="B6" s="3" t="s">
        <v>257</v>
      </c>
      <c r="C6" s="82">
        <f>'Overview 2016 (in)'!D23</f>
        <v>700</v>
      </c>
      <c r="D6" s="83">
        <f>'Overview 2016 (in)'!E23</f>
        <v>10</v>
      </c>
      <c r="E6" s="84">
        <f>'Overview 2016 (in)'!F23</f>
        <v>350</v>
      </c>
      <c r="F6" s="82">
        <f t="shared" si="0"/>
        <v>700</v>
      </c>
      <c r="G6" s="83">
        <f t="shared" si="1"/>
        <v>10</v>
      </c>
      <c r="H6" s="84">
        <f>E6</f>
        <v>350</v>
      </c>
      <c r="I6" s="82">
        <f t="shared" ref="I6:I15" si="2">IFERROR(F6*K6/H6,0)</f>
        <v>700</v>
      </c>
      <c r="J6" s="83">
        <f t="shared" ref="J6:J13" si="3">IFERROR(G6*K6/H6, 0)</f>
        <v>10</v>
      </c>
      <c r="K6" s="84">
        <f>H6</f>
        <v>350</v>
      </c>
      <c r="L6" s="22" t="s">
        <v>258</v>
      </c>
    </row>
    <row r="7" spans="2:12" x14ac:dyDescent="0.5">
      <c r="B7" s="18" t="s">
        <v>259</v>
      </c>
      <c r="C7" s="85">
        <f>'Overview 2016 (in)'!D24</f>
        <v>2500</v>
      </c>
      <c r="D7" s="23">
        <f>'Overview 2016 (in)'!E24</f>
        <v>250</v>
      </c>
      <c r="E7" s="107">
        <f>'Overview 2016 (in)'!F24</f>
        <v>1500</v>
      </c>
      <c r="F7" s="85">
        <f t="shared" ca="1" si="0"/>
        <v>4166.666666666667</v>
      </c>
      <c r="G7" s="23">
        <f t="shared" ca="1" si="1"/>
        <v>416.66666666666669</v>
      </c>
      <c r="H7" s="107">
        <f ca="1">INDIRECT(ADDRESS(ROW($B6),COLUMN(E$4),1,,$B$4))</f>
        <v>2500</v>
      </c>
      <c r="I7" s="85">
        <f ca="1">IFERROR(F7*K7/H7,0)</f>
        <v>5000</v>
      </c>
      <c r="J7" s="23">
        <f ca="1">IFERROR(G7*K7/H7, 0)</f>
        <v>500</v>
      </c>
      <c r="K7" s="107">
        <f ca="1">INDIRECT(ADDRESS(ROW($B6),COLUMN($F4),1,,$B$4))</f>
        <v>3000</v>
      </c>
      <c r="L7" s="21" t="s">
        <v>105</v>
      </c>
    </row>
    <row r="8" spans="2:12" x14ac:dyDescent="0.5">
      <c r="B8" s="3" t="s">
        <v>260</v>
      </c>
      <c r="C8" s="86">
        <f>'Overview 2016 (in)'!D25</f>
        <v>15</v>
      </c>
      <c r="D8" s="87">
        <f>'Overview 2016 (in)'!E25</f>
        <v>3</v>
      </c>
      <c r="E8" s="109">
        <f>'Overview 2016 (in)'!F25</f>
        <v>9</v>
      </c>
      <c r="F8" s="86">
        <f t="shared" ca="1" si="0"/>
        <v>20</v>
      </c>
      <c r="G8" s="87">
        <f t="shared" ca="1" si="1"/>
        <v>4</v>
      </c>
      <c r="H8" s="109">
        <f ca="1">INDIRECT(ADDRESS(ROW($B7),COLUMN(E$4),1,,$B$4))</f>
        <v>12</v>
      </c>
      <c r="I8" s="86">
        <f ca="1">IFERROR(F8*K8/H8,0)</f>
        <v>25</v>
      </c>
      <c r="J8" s="87">
        <f ca="1">IFERROR(G8*K8/H8, 0)</f>
        <v>5</v>
      </c>
      <c r="K8" s="109">
        <f ca="1">INDIRECT(ADDRESS(ROW($B7),COLUMN($F4),1,,$B$4))</f>
        <v>15</v>
      </c>
      <c r="L8" s="22" t="s">
        <v>64</v>
      </c>
    </row>
    <row r="9" spans="2:12" x14ac:dyDescent="0.5">
      <c r="B9" s="18" t="s">
        <v>81</v>
      </c>
      <c r="C9" s="85">
        <f>'Overview 2016 (in)'!D26</f>
        <v>50</v>
      </c>
      <c r="D9" s="23">
        <f>'Overview 2016 (in)'!E26</f>
        <v>60</v>
      </c>
      <c r="E9" s="24">
        <f>'Overview 2016 (in)'!F26</f>
        <v>50</v>
      </c>
      <c r="F9" s="85">
        <f t="shared" si="0"/>
        <v>50</v>
      </c>
      <c r="G9" s="23">
        <f t="shared" si="1"/>
        <v>60</v>
      </c>
      <c r="H9" s="24">
        <f>E9</f>
        <v>50</v>
      </c>
      <c r="I9" s="85">
        <f t="shared" si="2"/>
        <v>50</v>
      </c>
      <c r="J9" s="23">
        <f t="shared" si="3"/>
        <v>60</v>
      </c>
      <c r="K9" s="24">
        <f>H9</f>
        <v>50</v>
      </c>
      <c r="L9" s="21" t="s">
        <v>66</v>
      </c>
    </row>
    <row r="10" spans="2:12" x14ac:dyDescent="0.5">
      <c r="B10" s="3" t="s">
        <v>65</v>
      </c>
      <c r="C10" s="86">
        <f>'Overview 2016 (in)'!D27</f>
        <v>92</v>
      </c>
      <c r="D10" s="87">
        <f>'Overview 2016 (in)'!E27</f>
        <v>75</v>
      </c>
      <c r="E10" s="109">
        <f>'Overview 2016 (in)'!F27</f>
        <v>82</v>
      </c>
      <c r="F10" s="86">
        <f t="shared" ca="1" si="0"/>
        <v>92</v>
      </c>
      <c r="G10" s="87">
        <f t="shared" ca="1" si="1"/>
        <v>75</v>
      </c>
      <c r="H10" s="109">
        <f ca="1">INDIRECT(ADDRESS(ROW($B8),COLUMN(E$4),1,,$B$4))</f>
        <v>82</v>
      </c>
      <c r="I10" s="86">
        <f ca="1">IFERROR(F10*K10/H10,0)</f>
        <v>92</v>
      </c>
      <c r="J10" s="87">
        <f ca="1">IFERROR(G10*K10/H10, 0)</f>
        <v>75</v>
      </c>
      <c r="K10" s="109">
        <f ca="1">INDIRECT(ADDRESS(ROW($B8),COLUMN($F4),1,,$B$4))</f>
        <v>82</v>
      </c>
      <c r="L10" s="22" t="s">
        <v>66</v>
      </c>
    </row>
    <row r="11" spans="2:12" x14ac:dyDescent="0.5">
      <c r="B11" s="18" t="s">
        <v>137</v>
      </c>
      <c r="C11" s="81">
        <f>'Overview 2016 (in)'!D28</f>
        <v>0.09</v>
      </c>
      <c r="D11" s="19">
        <f>'Overview 2016 (in)'!E28</f>
        <v>0.4</v>
      </c>
      <c r="E11" s="20">
        <f>'Overview 2016 (in)'!F28</f>
        <v>0.25</v>
      </c>
      <c r="F11" s="81">
        <f t="shared" si="0"/>
        <v>0.09</v>
      </c>
      <c r="G11" s="19">
        <f t="shared" si="1"/>
        <v>0.4</v>
      </c>
      <c r="H11" s="20">
        <f>E11</f>
        <v>0.25</v>
      </c>
      <c r="I11" s="81">
        <f t="shared" si="2"/>
        <v>0.09</v>
      </c>
      <c r="J11" s="19">
        <f t="shared" si="3"/>
        <v>0.4</v>
      </c>
      <c r="K11" s="20">
        <f>H11</f>
        <v>0.25</v>
      </c>
      <c r="L11" s="21" t="s">
        <v>261</v>
      </c>
    </row>
    <row r="12" spans="2:12" x14ac:dyDescent="0.5">
      <c r="B12" s="28" t="s">
        <v>262</v>
      </c>
      <c r="C12" s="82">
        <f>'Overview 2016 (in)'!D29</f>
        <v>3.0000000000000001E-3</v>
      </c>
      <c r="D12" s="83">
        <f>'Overview 2016 (in)'!E29</f>
        <v>0.01</v>
      </c>
      <c r="E12" s="84">
        <f>'Overview 2016 (in)'!F29</f>
        <v>6.0000000000000001E-3</v>
      </c>
      <c r="F12" s="82">
        <f t="shared" si="0"/>
        <v>3.0000000000000001E-3</v>
      </c>
      <c r="G12" s="83">
        <f t="shared" si="1"/>
        <v>0.01</v>
      </c>
      <c r="H12" s="84">
        <f>E12</f>
        <v>6.0000000000000001E-3</v>
      </c>
      <c r="I12" s="82">
        <f t="shared" si="2"/>
        <v>3.0000000000000001E-3</v>
      </c>
      <c r="J12" s="83">
        <f t="shared" si="3"/>
        <v>0.01</v>
      </c>
      <c r="K12" s="84">
        <f>H12</f>
        <v>6.0000000000000001E-3</v>
      </c>
      <c r="L12" s="88" t="s">
        <v>265</v>
      </c>
    </row>
    <row r="13" spans="2:12" x14ac:dyDescent="0.5">
      <c r="B13" s="89" t="s">
        <v>266</v>
      </c>
      <c r="C13" s="90">
        <f>'Overview 2016 (in)'!D30</f>
        <v>0</v>
      </c>
      <c r="D13" s="25">
        <f>'Overview 2016 (in)'!E30</f>
        <v>0</v>
      </c>
      <c r="E13" s="26">
        <f>'Overview 2016 (in)'!F30</f>
        <v>0</v>
      </c>
      <c r="F13" s="90">
        <f t="shared" si="0"/>
        <v>0</v>
      </c>
      <c r="G13" s="25">
        <f t="shared" si="1"/>
        <v>0</v>
      </c>
      <c r="H13" s="26">
        <f>E13</f>
        <v>0</v>
      </c>
      <c r="I13" s="90">
        <f t="shared" si="2"/>
        <v>0</v>
      </c>
      <c r="J13" s="25">
        <f t="shared" si="3"/>
        <v>0</v>
      </c>
      <c r="K13" s="26">
        <f>H13</f>
        <v>0</v>
      </c>
      <c r="L13" s="21" t="s">
        <v>64</v>
      </c>
    </row>
    <row r="14" spans="2:12" x14ac:dyDescent="0.5">
      <c r="B14" s="28" t="s">
        <v>267</v>
      </c>
      <c r="C14" s="86">
        <f>'Overview 2016 (in)'!D31</f>
        <v>105</v>
      </c>
      <c r="D14" s="87">
        <f>'Overview 2016 (in)'!E31</f>
        <v>472.5</v>
      </c>
      <c r="E14" s="108">
        <f>'Overview 2016 (in)'!F31</f>
        <v>194.25</v>
      </c>
      <c r="F14" s="86">
        <f t="shared" ca="1" si="0"/>
        <v>83.243243243243242</v>
      </c>
      <c r="G14" s="87">
        <f t="shared" ca="1" si="1"/>
        <v>374.59459459459458</v>
      </c>
      <c r="H14" s="108">
        <f ca="1">IF(CELL("format",INDIRECT(ADDRESS(ROW($B4),COLUMN(E$4),1,,$B$4)))="W0-",INDIRECT(ADDRESS(ROW($B4),COLUMN(E$4),1,,$B$4))*'Overview 2016 (in)'!$O$7,INDIRECT(ADDRESS(ROW($B4),COLUMN(E$4),1,,$B$4)))</f>
        <v>154</v>
      </c>
      <c r="I14" s="86">
        <f t="shared" ca="1" si="2"/>
        <v>75.675675675675677</v>
      </c>
      <c r="J14" s="87">
        <f t="shared" ref="J14:J15" ca="1" si="4">IFERROR(G14*K14/H14,0)</f>
        <v>340.54054054054052</v>
      </c>
      <c r="K14" s="108">
        <f ca="1">IF(CELL("format",INDIRECT(ADDRESS(ROW($B4),COLUMN($F4),1,,$B$4)))="W0-",INDIRECT(ADDRESS(ROW($B4),COLUMN($F4),1,,$B$4))*'Overview 2016 (in)'!$O$7,INDIRECT(ADDRESS(ROW($B4),COLUMN($F4),1,,$B$4)))</f>
        <v>140</v>
      </c>
      <c r="L14" s="88" t="s">
        <v>268</v>
      </c>
    </row>
    <row r="15" spans="2:12" x14ac:dyDescent="0.5">
      <c r="B15" s="89" t="s">
        <v>269</v>
      </c>
      <c r="C15" s="23">
        <f>'Overview 2016 (in)'!D32</f>
        <v>0</v>
      </c>
      <c r="D15" s="23">
        <f>'Overview 2016 (in)'!E32</f>
        <v>0</v>
      </c>
      <c r="E15" s="107">
        <f>'Overview 2016 (in)'!F32</f>
        <v>0</v>
      </c>
      <c r="F15" s="23">
        <f t="shared" ca="1" si="0"/>
        <v>0</v>
      </c>
      <c r="G15" s="23">
        <f t="shared" ca="1" si="1"/>
        <v>0</v>
      </c>
      <c r="H15" s="107">
        <f ca="1">IF(CELL("format",INDIRECT(ADDRESS(ROW($B5),COLUMN(E$4),1,,$B$4)))="W0-",INDIRECT(ADDRESS(ROW($B5),COLUMN(E$4),1,,$B$4))*'Overview 2016 (in)'!$O$7,INDIRECT(ADDRESS(ROW($B5),COLUMN(E$4),1,,$B$4)))</f>
        <v>0</v>
      </c>
      <c r="I15" s="23">
        <f t="shared" ca="1" si="2"/>
        <v>0</v>
      </c>
      <c r="J15" s="23">
        <f t="shared" ca="1" si="4"/>
        <v>0</v>
      </c>
      <c r="K15" s="107">
        <f ca="1">IF(CELL("format",INDIRECT(ADDRESS(ROW($B5),COLUMN($F4),1,,$B$4)))="W0-",INDIRECT(ADDRESS(ROW($B5),COLUMN($F4),1,,$B$4))*'Overview 2016 (in)'!$O$7,INDIRECT(ADDRESS(ROW($B5),COLUMN($F4),1,,$B$4)))</f>
        <v>0</v>
      </c>
      <c r="L15" s="21" t="s">
        <v>61</v>
      </c>
    </row>
    <row r="16" spans="2:12" ht="14.7" thickBot="1" x14ac:dyDescent="0.55000000000000004">
      <c r="B16" s="245" t="s">
        <v>51</v>
      </c>
      <c r="C16" s="253">
        <f>'Flooded LA (calc)'!C9</f>
        <v>1</v>
      </c>
      <c r="D16" s="253">
        <f>'Flooded LA (calc)'!C10</f>
        <v>10</v>
      </c>
      <c r="E16" s="254">
        <f>AVERAGE(C16:D16)</f>
        <v>5.5</v>
      </c>
      <c r="F16" s="253">
        <f t="shared" ref="F16:K16" si="5">C16</f>
        <v>1</v>
      </c>
      <c r="G16" s="253">
        <f t="shared" si="5"/>
        <v>10</v>
      </c>
      <c r="H16" s="254">
        <f t="shared" si="5"/>
        <v>5.5</v>
      </c>
      <c r="I16" s="253">
        <f t="shared" si="5"/>
        <v>1</v>
      </c>
      <c r="J16" s="253">
        <f t="shared" si="5"/>
        <v>10</v>
      </c>
      <c r="K16" s="254">
        <f t="shared" si="5"/>
        <v>5.5</v>
      </c>
      <c r="L16" s="135" t="s">
        <v>74</v>
      </c>
    </row>
    <row r="17" spans="2:3" x14ac:dyDescent="0.5">
      <c r="C17" s="111"/>
    </row>
    <row r="18" spans="2:3" ht="18" x14ac:dyDescent="0.6">
      <c r="B18" s="1"/>
    </row>
  </sheetData>
  <mergeCells count="3">
    <mergeCell ref="C3:E3"/>
    <mergeCell ref="F3:H3"/>
    <mergeCell ref="I3:K3"/>
  </mergeCells>
  <pageMargins left="0.7" right="0.7" top="0.78740157499999996" bottom="0.78740157499999996"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6">
    <tabColor theme="6" tint="0.39997558519241921"/>
  </sheetPr>
  <dimension ref="A2:L72"/>
  <sheetViews>
    <sheetView workbookViewId="0">
      <selection activeCell="L22" sqref="L22"/>
    </sheetView>
  </sheetViews>
  <sheetFormatPr defaultColWidth="9.17578125" defaultRowHeight="14.35" x14ac:dyDescent="0.5"/>
  <cols>
    <col min="2" max="2" width="26.52734375" customWidth="1"/>
    <col min="3" max="8" width="10.64453125" customWidth="1"/>
    <col min="9" max="9" width="20.29296875" customWidth="1"/>
    <col min="10" max="10" width="13.8203125" customWidth="1"/>
    <col min="11" max="16" width="12.64453125" customWidth="1"/>
  </cols>
  <sheetData>
    <row r="2" spans="2:12" ht="18.350000000000001" thickBot="1" x14ac:dyDescent="0.65">
      <c r="B2" s="1" t="s">
        <v>372</v>
      </c>
      <c r="C2" s="9"/>
      <c r="K2" s="1" t="s">
        <v>286</v>
      </c>
    </row>
    <row r="3" spans="2:12" x14ac:dyDescent="0.5">
      <c r="B3" s="4"/>
      <c r="C3" s="4">
        <v>2016</v>
      </c>
      <c r="D3" s="4">
        <v>2020</v>
      </c>
      <c r="E3" s="4">
        <v>2025</v>
      </c>
      <c r="F3" s="4">
        <v>2030</v>
      </c>
      <c r="G3" s="4" t="s">
        <v>59</v>
      </c>
      <c r="H3" s="3"/>
      <c r="I3" s="4" t="s">
        <v>287</v>
      </c>
      <c r="J3" s="4" t="s">
        <v>288</v>
      </c>
      <c r="K3" s="4" t="s">
        <v>289</v>
      </c>
      <c r="L3" s="4" t="s">
        <v>290</v>
      </c>
    </row>
    <row r="4" spans="2:12" x14ac:dyDescent="0.5">
      <c r="B4" s="3" t="s">
        <v>267</v>
      </c>
      <c r="C4" s="32">
        <f>'Overview 2016 (in)'!I31</f>
        <v>210</v>
      </c>
      <c r="D4" s="32">
        <v>179</v>
      </c>
      <c r="E4" s="32">
        <v>154</v>
      </c>
      <c r="F4" s="32">
        <v>140</v>
      </c>
      <c r="G4" t="s">
        <v>268</v>
      </c>
      <c r="I4" s="35" t="s">
        <v>350</v>
      </c>
      <c r="J4">
        <v>2</v>
      </c>
      <c r="K4">
        <v>2</v>
      </c>
      <c r="L4">
        <v>2</v>
      </c>
    </row>
    <row r="5" spans="2:12" x14ac:dyDescent="0.5">
      <c r="B5" s="3" t="s">
        <v>269</v>
      </c>
      <c r="C5" s="32">
        <f>'Overview 2016 (in)'!F32</f>
        <v>0</v>
      </c>
      <c r="D5" s="32">
        <v>0</v>
      </c>
      <c r="E5" s="32">
        <v>0</v>
      </c>
      <c r="F5" s="32">
        <v>0</v>
      </c>
      <c r="G5" t="s">
        <v>61</v>
      </c>
      <c r="I5" s="35" t="s">
        <v>350</v>
      </c>
      <c r="J5">
        <v>1</v>
      </c>
      <c r="K5">
        <v>1</v>
      </c>
      <c r="L5">
        <v>1</v>
      </c>
    </row>
    <row r="6" spans="2:12" x14ac:dyDescent="0.5">
      <c r="B6" s="3" t="s">
        <v>259</v>
      </c>
      <c r="C6">
        <f>'Overview 2016 (in)'!F24</f>
        <v>1500</v>
      </c>
      <c r="D6">
        <v>1800</v>
      </c>
      <c r="E6">
        <v>2500</v>
      </c>
      <c r="F6">
        <v>3000</v>
      </c>
      <c r="G6" t="s">
        <v>105</v>
      </c>
      <c r="I6" s="35" t="s">
        <v>350</v>
      </c>
      <c r="J6" t="s">
        <v>351</v>
      </c>
      <c r="K6" t="s">
        <v>351</v>
      </c>
      <c r="L6" t="s">
        <v>351</v>
      </c>
    </row>
    <row r="7" spans="2:12" x14ac:dyDescent="0.5">
      <c r="B7" s="3" t="s">
        <v>260</v>
      </c>
      <c r="C7">
        <f>'Overview 2016 (in)'!I25</f>
        <v>9</v>
      </c>
      <c r="D7">
        <v>10</v>
      </c>
      <c r="E7">
        <v>12</v>
      </c>
      <c r="F7">
        <v>15</v>
      </c>
      <c r="G7" t="s">
        <v>64</v>
      </c>
      <c r="I7" s="35" t="s">
        <v>350</v>
      </c>
      <c r="J7" t="s">
        <v>351</v>
      </c>
      <c r="K7" t="s">
        <v>351</v>
      </c>
      <c r="L7" t="s">
        <v>351</v>
      </c>
    </row>
    <row r="8" spans="2:12" x14ac:dyDescent="0.5">
      <c r="B8" s="3" t="s">
        <v>65</v>
      </c>
      <c r="C8">
        <f>'Overview 2016 (in)'!I27</f>
        <v>82</v>
      </c>
      <c r="D8">
        <v>82</v>
      </c>
      <c r="E8">
        <v>82</v>
      </c>
      <c r="F8">
        <v>82</v>
      </c>
      <c r="G8" t="s">
        <v>66</v>
      </c>
      <c r="I8" s="35" t="s">
        <v>350</v>
      </c>
      <c r="J8" t="s">
        <v>351</v>
      </c>
      <c r="K8" t="s">
        <v>351</v>
      </c>
      <c r="L8" t="s">
        <v>351</v>
      </c>
    </row>
    <row r="9" spans="2:12" x14ac:dyDescent="0.5">
      <c r="B9" s="3" t="s">
        <v>331</v>
      </c>
      <c r="C9">
        <v>1</v>
      </c>
      <c r="D9">
        <v>1</v>
      </c>
      <c r="E9">
        <v>1</v>
      </c>
      <c r="F9">
        <v>1</v>
      </c>
      <c r="G9" t="s">
        <v>74</v>
      </c>
      <c r="I9" s="35">
        <v>7</v>
      </c>
      <c r="J9">
        <v>7</v>
      </c>
      <c r="K9">
        <v>7</v>
      </c>
      <c r="L9">
        <v>7</v>
      </c>
    </row>
    <row r="10" spans="2:12" ht="14.7" thickBot="1" x14ac:dyDescent="0.55000000000000004">
      <c r="B10" s="5" t="s">
        <v>334</v>
      </c>
      <c r="C10" s="6">
        <v>10</v>
      </c>
      <c r="D10" s="6">
        <v>10</v>
      </c>
      <c r="E10" s="6">
        <v>10</v>
      </c>
      <c r="F10" s="6">
        <v>10</v>
      </c>
      <c r="G10" s="6" t="s">
        <v>74</v>
      </c>
      <c r="I10" s="36" t="s">
        <v>352</v>
      </c>
      <c r="J10" s="6" t="s">
        <v>352</v>
      </c>
      <c r="K10" s="6" t="s">
        <v>352</v>
      </c>
      <c r="L10" s="6" t="s">
        <v>352</v>
      </c>
    </row>
    <row r="12" spans="2:12" x14ac:dyDescent="0.5">
      <c r="K12" s="2" t="s">
        <v>294</v>
      </c>
    </row>
    <row r="13" spans="2:12" ht="18.350000000000001" thickBot="1" x14ac:dyDescent="0.65">
      <c r="B13" s="1" t="s">
        <v>295</v>
      </c>
      <c r="K13" s="11" t="s">
        <v>296</v>
      </c>
    </row>
    <row r="14" spans="2:12" x14ac:dyDescent="0.5">
      <c r="B14" s="7" t="s">
        <v>297</v>
      </c>
      <c r="C14" s="7" t="s">
        <v>298</v>
      </c>
      <c r="D14" s="7" t="s">
        <v>299</v>
      </c>
      <c r="E14" s="7" t="s">
        <v>300</v>
      </c>
      <c r="F14" s="46" t="s">
        <v>301</v>
      </c>
      <c r="G14" s="7"/>
      <c r="H14" s="46" t="s">
        <v>84</v>
      </c>
      <c r="K14" s="40" t="s">
        <v>302</v>
      </c>
      <c r="L14" s="40"/>
    </row>
    <row r="15" spans="2:12" x14ac:dyDescent="0.5">
      <c r="B15">
        <v>1</v>
      </c>
      <c r="C15" t="s">
        <v>303</v>
      </c>
      <c r="D15" t="s">
        <v>304</v>
      </c>
      <c r="E15" s="164" t="s">
        <v>305</v>
      </c>
      <c r="F15" s="80" t="s">
        <v>306</v>
      </c>
      <c r="H15" s="22" t="s">
        <v>353</v>
      </c>
      <c r="K15" s="53"/>
    </row>
    <row r="16" spans="2:12" x14ac:dyDescent="0.5">
      <c r="B16">
        <v>2</v>
      </c>
      <c r="C16" t="s">
        <v>307</v>
      </c>
      <c r="D16" t="s">
        <v>308</v>
      </c>
      <c r="E16" s="164" t="s">
        <v>373</v>
      </c>
      <c r="F16" s="80" t="s">
        <v>310</v>
      </c>
      <c r="H16" s="22" t="s">
        <v>353</v>
      </c>
    </row>
    <row r="17" spans="1:11" x14ac:dyDescent="0.5">
      <c r="B17">
        <v>3</v>
      </c>
      <c r="C17" t="s">
        <v>354</v>
      </c>
      <c r="D17" t="s">
        <v>355</v>
      </c>
      <c r="E17" s="164" t="s">
        <v>356</v>
      </c>
      <c r="F17" s="80" t="s">
        <v>357</v>
      </c>
      <c r="H17" s="22" t="s">
        <v>353</v>
      </c>
    </row>
    <row r="18" spans="1:11" x14ac:dyDescent="0.5">
      <c r="B18">
        <v>4</v>
      </c>
      <c r="C18" t="s">
        <v>311</v>
      </c>
      <c r="D18" t="s">
        <v>312</v>
      </c>
      <c r="E18" s="164" t="s">
        <v>313</v>
      </c>
      <c r="F18" s="80" t="s">
        <v>314</v>
      </c>
      <c r="H18" s="22" t="s">
        <v>353</v>
      </c>
    </row>
    <row r="19" spans="1:11" x14ac:dyDescent="0.5">
      <c r="B19">
        <v>5</v>
      </c>
      <c r="C19" t="s">
        <v>358</v>
      </c>
      <c r="D19" t="s">
        <v>359</v>
      </c>
      <c r="E19" s="164" t="s">
        <v>360</v>
      </c>
      <c r="F19" s="80" t="s">
        <v>361</v>
      </c>
      <c r="H19" s="22" t="s">
        <v>362</v>
      </c>
    </row>
    <row r="20" spans="1:11" x14ac:dyDescent="0.5">
      <c r="B20">
        <v>6</v>
      </c>
      <c r="C20" t="s">
        <v>315</v>
      </c>
      <c r="D20" t="s">
        <v>316</v>
      </c>
      <c r="E20" s="207" t="s">
        <v>317</v>
      </c>
      <c r="F20" s="45" t="s">
        <v>318</v>
      </c>
      <c r="H20" s="22" t="s">
        <v>353</v>
      </c>
    </row>
    <row r="21" spans="1:11" x14ac:dyDescent="0.5">
      <c r="B21">
        <v>7</v>
      </c>
      <c r="C21" t="s">
        <v>363</v>
      </c>
      <c r="D21" t="s">
        <v>364</v>
      </c>
      <c r="E21" s="207" t="s">
        <v>365</v>
      </c>
      <c r="F21" s="45" t="s">
        <v>366</v>
      </c>
      <c r="G21" s="115"/>
      <c r="H21" s="22" t="s">
        <v>353</v>
      </c>
    </row>
    <row r="22" spans="1:11" x14ac:dyDescent="0.5">
      <c r="A22" s="68" t="s">
        <v>319</v>
      </c>
    </row>
    <row r="23" spans="1:11" ht="14.7" thickBot="1" x14ac:dyDescent="0.55000000000000004">
      <c r="A23" s="68" t="s">
        <v>320</v>
      </c>
    </row>
    <row r="24" spans="1:11" x14ac:dyDescent="0.5">
      <c r="A24" s="3" t="s">
        <v>321</v>
      </c>
      <c r="B24" s="4"/>
      <c r="C24" s="4">
        <v>2016</v>
      </c>
      <c r="D24" s="29">
        <v>2020</v>
      </c>
      <c r="E24" s="4">
        <v>2023</v>
      </c>
      <c r="F24" s="29">
        <v>2025</v>
      </c>
      <c r="G24" s="29">
        <v>2030</v>
      </c>
      <c r="H24" s="4">
        <v>2033</v>
      </c>
      <c r="I24" s="4" t="s">
        <v>59</v>
      </c>
      <c r="J24" s="16" t="s">
        <v>322</v>
      </c>
      <c r="K24" s="4" t="s">
        <v>323</v>
      </c>
    </row>
    <row r="25" spans="1:11" x14ac:dyDescent="0.5">
      <c r="B25" s="3" t="s">
        <v>267</v>
      </c>
      <c r="C25" s="32">
        <f>C4</f>
        <v>210</v>
      </c>
      <c r="D25" s="54">
        <f>$C25*(1-$J25)^(D$24-$C$24)</f>
        <v>161.38085015308408</v>
      </c>
      <c r="E25" s="48"/>
      <c r="F25" s="54">
        <f>$C25*(1-$J25)^(F$24-$C$24)</f>
        <v>116.11621726758378</v>
      </c>
      <c r="G25" s="58">
        <f>65*Financials!D5</f>
        <v>83.547557840616975</v>
      </c>
      <c r="H25" s="47"/>
      <c r="I25" t="s">
        <v>268</v>
      </c>
      <c r="J25" s="168">
        <f>1-(G25/C25)^(1/(G$24-C$24))</f>
        <v>6.3714762090746335E-2</v>
      </c>
      <c r="K25" s="44"/>
    </row>
    <row r="26" spans="1:11" x14ac:dyDescent="0.5">
      <c r="B26" s="3" t="s">
        <v>269</v>
      </c>
      <c r="C26" s="32">
        <f>C5</f>
        <v>0</v>
      </c>
      <c r="D26" s="54">
        <f>$C26*(1-$J26)^(D$24-$C$24)</f>
        <v>0</v>
      </c>
      <c r="E26" s="48"/>
      <c r="F26" s="54">
        <f>$C26*(1-$J26)^(F$24-$C$24)</f>
        <v>0</v>
      </c>
      <c r="G26" s="58">
        <f>50*Financials!D5</f>
        <v>64.267352185089976</v>
      </c>
      <c r="H26" s="47"/>
      <c r="I26" t="s">
        <v>61</v>
      </c>
      <c r="J26" s="168"/>
      <c r="K26" s="44"/>
    </row>
    <row r="27" spans="1:11" x14ac:dyDescent="0.5">
      <c r="B27" s="3" t="s">
        <v>259</v>
      </c>
      <c r="C27">
        <f>C6</f>
        <v>1500</v>
      </c>
      <c r="D27" s="54">
        <f>$C27*(1-$J27)^(D$24-$C$24)</f>
        <v>1870.8193776161006</v>
      </c>
      <c r="E27" s="48"/>
      <c r="F27" s="54">
        <f>$C27*(1-$J27)^(F$24-$C$24)</f>
        <v>2465.7986489679824</v>
      </c>
      <c r="G27" s="3">
        <v>3250</v>
      </c>
      <c r="H27" s="51"/>
      <c r="I27" t="s">
        <v>105</v>
      </c>
      <c r="J27" s="168">
        <f>1-(G27/C27)^(1/(G$24-C$24))</f>
        <v>-5.6781373993924689E-2</v>
      </c>
      <c r="K27" s="44"/>
    </row>
    <row r="28" spans="1:11" x14ac:dyDescent="0.5">
      <c r="B28" s="3" t="s">
        <v>260</v>
      </c>
      <c r="C28">
        <f>C7</f>
        <v>9</v>
      </c>
      <c r="D28" s="54">
        <f>$C28*(1-$J28)^(D$24-$C$24)</f>
        <v>10.414246823205755</v>
      </c>
      <c r="E28" s="48"/>
      <c r="F28" s="54">
        <f>$C28*(1-$J28)^(F$24-$C$24)</f>
        <v>12.498548009592403</v>
      </c>
      <c r="G28" s="3">
        <v>15</v>
      </c>
      <c r="H28" s="51"/>
      <c r="I28" t="s">
        <v>64</v>
      </c>
      <c r="J28" s="168">
        <f>1-(G28/C28)^(1/(G$24-C$24))</f>
        <v>-3.716138563040583E-2</v>
      </c>
      <c r="K28" s="44"/>
    </row>
    <row r="29" spans="1:11" ht="14.7" thickBot="1" x14ac:dyDescent="0.55000000000000004">
      <c r="B29" s="5" t="s">
        <v>65</v>
      </c>
      <c r="C29" s="6">
        <f>C8</f>
        <v>82</v>
      </c>
      <c r="D29" s="55">
        <f>$C29*(1-$J29)^(D$24-$C$24)</f>
        <v>82</v>
      </c>
      <c r="E29" s="49"/>
      <c r="F29" s="55">
        <f>$C29*(1-$J29)^(F$24-$C$24)</f>
        <v>82</v>
      </c>
      <c r="G29" s="5">
        <v>82</v>
      </c>
      <c r="H29" s="52"/>
      <c r="I29" s="6" t="s">
        <v>66</v>
      </c>
      <c r="J29" s="169">
        <f>1-(G29/C29)^(1/(G$24-C$24))</f>
        <v>0</v>
      </c>
      <c r="K29" s="166"/>
    </row>
    <row r="30" spans="1:11" ht="14.7" thickBot="1" x14ac:dyDescent="0.55000000000000004">
      <c r="J30" s="168"/>
      <c r="K30" s="44"/>
    </row>
    <row r="31" spans="1:11" x14ac:dyDescent="0.5">
      <c r="A31" s="3" t="s">
        <v>325</v>
      </c>
      <c r="B31" s="4"/>
      <c r="C31" s="4">
        <v>2016</v>
      </c>
      <c r="D31" s="29">
        <v>2020</v>
      </c>
      <c r="E31" s="4">
        <v>2023</v>
      </c>
      <c r="F31" s="29">
        <v>2025</v>
      </c>
      <c r="G31" s="29">
        <v>2030</v>
      </c>
      <c r="H31" s="4">
        <v>2033</v>
      </c>
      <c r="I31" s="4" t="s">
        <v>59</v>
      </c>
      <c r="J31" s="170"/>
      <c r="K31" s="167"/>
    </row>
    <row r="32" spans="1:11" x14ac:dyDescent="0.5">
      <c r="B32" s="3" t="s">
        <v>267</v>
      </c>
      <c r="C32" s="32">
        <f>C4</f>
        <v>210</v>
      </c>
      <c r="D32" s="54">
        <f>$C32*(1-$J32)^(D$24-$C$24)</f>
        <v>179.36730401441761</v>
      </c>
      <c r="E32" s="32">
        <f>120*Financials!D7</f>
        <v>159.36254980079681</v>
      </c>
      <c r="F32" s="54">
        <f>$E32*(1-$K32)^(F$24-$E$24)</f>
        <v>153.65617593667363</v>
      </c>
      <c r="G32" s="54">
        <f>$E32*(1-$K32)^(G$24-$E$24)</f>
        <v>140.26825610083108</v>
      </c>
      <c r="H32" s="32">
        <f>100*Financials!D7</f>
        <v>132.80212483399734</v>
      </c>
      <c r="I32" t="s">
        <v>268</v>
      </c>
      <c r="J32" s="168">
        <f>1-(E32/C32)^(1/(E$24-C$24))</f>
        <v>3.8651182488151581E-2</v>
      </c>
      <c r="K32" s="44">
        <f>1-(H32/E32)^(1/(H$24-E$24))</f>
        <v>1.806695543808734E-2</v>
      </c>
    </row>
    <row r="33" spans="1:11" x14ac:dyDescent="0.5">
      <c r="B33" s="3" t="s">
        <v>269</v>
      </c>
      <c r="C33" s="32">
        <f>C5</f>
        <v>0</v>
      </c>
      <c r="D33" s="57"/>
      <c r="E33" s="48"/>
      <c r="F33" s="57"/>
      <c r="G33" s="57"/>
      <c r="H33" s="48"/>
      <c r="I33" t="s">
        <v>61</v>
      </c>
      <c r="J33" s="168"/>
      <c r="K33" s="44"/>
    </row>
    <row r="34" spans="1:11" x14ac:dyDescent="0.5">
      <c r="B34" s="3" t="s">
        <v>259</v>
      </c>
      <c r="C34">
        <f>C6</f>
        <v>1500</v>
      </c>
      <c r="D34" s="57"/>
      <c r="E34" s="48"/>
      <c r="F34" s="57"/>
      <c r="G34" s="57"/>
      <c r="H34" s="51"/>
      <c r="I34" t="s">
        <v>105</v>
      </c>
      <c r="J34" s="168"/>
      <c r="K34" s="44"/>
    </row>
    <row r="35" spans="1:11" x14ac:dyDescent="0.5">
      <c r="B35" s="3" t="s">
        <v>260</v>
      </c>
      <c r="C35">
        <f>C7</f>
        <v>9</v>
      </c>
      <c r="D35" s="54">
        <f>$C35*(1-$J35)^(D$24-$C$24)</f>
        <v>9.5584978521729163</v>
      </c>
      <c r="E35" s="32">
        <v>10</v>
      </c>
      <c r="F35" s="54">
        <f>$E35*(1-$K35)^(F$24-$E$24)</f>
        <v>10</v>
      </c>
      <c r="G35" s="54">
        <f>$E35*(1-$K35)^(G$24-$E$24)</f>
        <v>10</v>
      </c>
      <c r="H35">
        <v>10</v>
      </c>
      <c r="I35" t="s">
        <v>64</v>
      </c>
      <c r="J35" s="168">
        <f>1-(E35/C35)^(1/(E$24-C$24))</f>
        <v>-1.5165346555491288E-2</v>
      </c>
      <c r="K35" s="44">
        <f>1-(H35/E35)^(1/(H$24-E$24))</f>
        <v>0</v>
      </c>
    </row>
    <row r="36" spans="1:11" ht="14.7" thickBot="1" x14ac:dyDescent="0.55000000000000004">
      <c r="B36" s="5" t="s">
        <v>65</v>
      </c>
      <c r="C36" s="6">
        <f>C8</f>
        <v>82</v>
      </c>
      <c r="D36" s="55">
        <f>$C36*(1-$J36)^(D$24-$C$24)</f>
        <v>80.851099317144403</v>
      </c>
      <c r="E36" s="33">
        <v>80</v>
      </c>
      <c r="F36" s="55">
        <f>$E36*(1-$K36)^(F$24-$E$24)</f>
        <v>80</v>
      </c>
      <c r="G36" s="55">
        <f>$E36*(1-$K36)^(G$24-$E$24)</f>
        <v>80</v>
      </c>
      <c r="H36" s="6">
        <v>80</v>
      </c>
      <c r="I36" s="6" t="s">
        <v>66</v>
      </c>
      <c r="J36" s="169">
        <f>1-(E36/C36)^(1/(E$24-C$24))</f>
        <v>3.5213017087269982E-3</v>
      </c>
      <c r="K36" s="166">
        <f>1-(H36/E36)^(1/(H$24-E$24))</f>
        <v>0</v>
      </c>
    </row>
    <row r="37" spans="1:11" ht="14.7" thickBot="1" x14ac:dyDescent="0.55000000000000004">
      <c r="J37" s="168"/>
      <c r="K37" s="44"/>
    </row>
    <row r="38" spans="1:11" x14ac:dyDescent="0.5">
      <c r="A38" s="3" t="s">
        <v>326</v>
      </c>
      <c r="B38" s="4"/>
      <c r="C38" s="4">
        <v>2016</v>
      </c>
      <c r="D38" s="29">
        <v>2020</v>
      </c>
      <c r="E38" s="4">
        <v>2023</v>
      </c>
      <c r="F38" s="29">
        <v>2025</v>
      </c>
      <c r="G38" s="29">
        <v>2030</v>
      </c>
      <c r="H38" s="4">
        <v>2033</v>
      </c>
      <c r="I38" s="4" t="s">
        <v>59</v>
      </c>
      <c r="J38" s="170"/>
      <c r="K38" s="167"/>
    </row>
    <row r="39" spans="1:11" x14ac:dyDescent="0.5">
      <c r="B39" s="3" t="s">
        <v>267</v>
      </c>
      <c r="C39" s="32">
        <f>C4</f>
        <v>210</v>
      </c>
      <c r="D39" s="56"/>
      <c r="E39" s="47"/>
      <c r="F39" s="56"/>
      <c r="G39" s="57"/>
      <c r="H39" s="47"/>
      <c r="I39" t="s">
        <v>268</v>
      </c>
      <c r="J39" s="168">
        <f>1-(H39/C39)^(1/(H$38-C$38))</f>
        <v>1</v>
      </c>
      <c r="K39" s="44"/>
    </row>
    <row r="40" spans="1:11" x14ac:dyDescent="0.5">
      <c r="B40" s="3" t="s">
        <v>269</v>
      </c>
      <c r="C40" s="32">
        <f>C5</f>
        <v>0</v>
      </c>
      <c r="D40" s="56"/>
      <c r="E40" s="47"/>
      <c r="F40" s="60"/>
      <c r="G40" s="56"/>
      <c r="H40" s="47"/>
      <c r="I40" t="s">
        <v>61</v>
      </c>
      <c r="J40" s="168" t="e">
        <f t="shared" ref="J40:J43" si="0">1-(H40/C40)^(1/(H$38-C$38))</f>
        <v>#DIV/0!</v>
      </c>
      <c r="K40" s="44"/>
    </row>
    <row r="41" spans="1:11" x14ac:dyDescent="0.5">
      <c r="B41" s="3" t="s">
        <v>259</v>
      </c>
      <c r="C41">
        <f>C6</f>
        <v>1500</v>
      </c>
      <c r="D41" s="58">
        <v>3250</v>
      </c>
      <c r="E41" s="48"/>
      <c r="F41" s="54">
        <f>$D41*(1-$K41)^(F$24-$D$24)</f>
        <v>3250</v>
      </c>
      <c r="G41" s="58">
        <v>3250</v>
      </c>
      <c r="H41" s="51"/>
      <c r="I41" t="s">
        <v>105</v>
      </c>
      <c r="J41" s="168">
        <f>1-(H41/C41)^(1/(H$38-C$38))</f>
        <v>1</v>
      </c>
      <c r="K41" s="44">
        <f>1-(G41/D41)^(1/(G$24-D$24))</f>
        <v>0</v>
      </c>
    </row>
    <row r="42" spans="1:11" x14ac:dyDescent="0.5">
      <c r="B42" s="3" t="s">
        <v>260</v>
      </c>
      <c r="C42">
        <f>C7</f>
        <v>9</v>
      </c>
      <c r="D42" s="58">
        <v>15</v>
      </c>
      <c r="E42" s="48"/>
      <c r="F42" s="54">
        <f>$D42*(1-$K42)^(F$24-$D$24)</f>
        <v>15</v>
      </c>
      <c r="G42" s="58">
        <v>15</v>
      </c>
      <c r="H42" s="51"/>
      <c r="I42" t="s">
        <v>64</v>
      </c>
      <c r="J42" s="168">
        <f t="shared" si="0"/>
        <v>1</v>
      </c>
      <c r="K42" s="44">
        <f t="shared" ref="K42:K43" si="1">1-(G42/D42)^(1/(G$24-D$24))</f>
        <v>0</v>
      </c>
    </row>
    <row r="43" spans="1:11" ht="14.7" thickBot="1" x14ac:dyDescent="0.55000000000000004">
      <c r="B43" s="5" t="s">
        <v>65</v>
      </c>
      <c r="C43" s="33">
        <v>80</v>
      </c>
      <c r="D43" s="59">
        <v>81</v>
      </c>
      <c r="E43" s="49"/>
      <c r="F43" s="55">
        <f>$D43*(1-$K43)^(F$24-$D$24)</f>
        <v>81</v>
      </c>
      <c r="G43" s="59">
        <v>81</v>
      </c>
      <c r="H43" s="49"/>
      <c r="I43" s="6" t="s">
        <v>66</v>
      </c>
      <c r="J43" s="169">
        <f t="shared" si="0"/>
        <v>1</v>
      </c>
      <c r="K43" s="166">
        <f t="shared" si="1"/>
        <v>0</v>
      </c>
    </row>
    <row r="44" spans="1:11" ht="14.7" thickBot="1" x14ac:dyDescent="0.55000000000000004"/>
    <row r="45" spans="1:11" x14ac:dyDescent="0.5">
      <c r="A45" s="3" t="s">
        <v>327</v>
      </c>
      <c r="B45" s="4"/>
      <c r="C45" s="4">
        <v>2016</v>
      </c>
      <c r="D45" s="29">
        <v>2020</v>
      </c>
      <c r="E45" s="4">
        <v>2023</v>
      </c>
      <c r="F45" s="29">
        <v>2025</v>
      </c>
      <c r="G45" s="29">
        <v>2030</v>
      </c>
      <c r="H45" s="4">
        <v>2033</v>
      </c>
      <c r="I45" s="4" t="s">
        <v>59</v>
      </c>
      <c r="J45" s="170"/>
      <c r="K45" s="167"/>
    </row>
    <row r="46" spans="1:11" x14ac:dyDescent="0.5">
      <c r="B46" s="3" t="s">
        <v>267</v>
      </c>
      <c r="C46" s="32">
        <f>C4</f>
        <v>210</v>
      </c>
      <c r="D46" s="56"/>
      <c r="E46" s="47"/>
      <c r="F46" s="56"/>
      <c r="G46" s="57"/>
      <c r="H46" s="47"/>
      <c r="I46" t="s">
        <v>268</v>
      </c>
      <c r="J46" s="168">
        <f>1-(E46/C46)^(1/(E$45-C$45))</f>
        <v>1</v>
      </c>
      <c r="K46" s="44"/>
    </row>
    <row r="47" spans="1:11" x14ac:dyDescent="0.5">
      <c r="B47" s="3" t="s">
        <v>269</v>
      </c>
      <c r="C47" s="32">
        <f>C5</f>
        <v>0</v>
      </c>
      <c r="D47" s="56"/>
      <c r="E47" s="47"/>
      <c r="F47" s="60"/>
      <c r="G47" s="56"/>
      <c r="H47" s="47"/>
      <c r="I47" t="s">
        <v>61</v>
      </c>
      <c r="J47" s="168" t="e">
        <f t="shared" ref="J47:J50" si="2">1-(E47/C47)^(1/(E$45-C$45))</f>
        <v>#DIV/0!</v>
      </c>
      <c r="K47" s="44"/>
    </row>
    <row r="48" spans="1:11" x14ac:dyDescent="0.5">
      <c r="B48" s="3" t="s">
        <v>259</v>
      </c>
      <c r="C48">
        <f>C6</f>
        <v>1500</v>
      </c>
      <c r="D48" s="54">
        <f>$C48*(1-$J48)^(D$24-$C$24)</f>
        <v>2008.4543869379859</v>
      </c>
      <c r="E48" s="32">
        <v>2500</v>
      </c>
      <c r="F48" s="54">
        <f>$E48*(1-$K48)^(F$24-$E$45)</f>
        <v>2500</v>
      </c>
      <c r="G48" s="58">
        <v>2500</v>
      </c>
      <c r="H48" s="51"/>
      <c r="I48" t="s">
        <v>105</v>
      </c>
      <c r="J48" s="168">
        <f t="shared" si="2"/>
        <v>-7.5703739842783557E-2</v>
      </c>
      <c r="K48" s="44">
        <f>1-(G48/E48)^(1/(G$45-E$45))</f>
        <v>0</v>
      </c>
    </row>
    <row r="49" spans="1:11" x14ac:dyDescent="0.5">
      <c r="B49" s="3" t="s">
        <v>260</v>
      </c>
      <c r="C49">
        <f>C7</f>
        <v>9</v>
      </c>
      <c r="D49" s="54">
        <f>$C49*(1-$J49)^(D$24-$C$24)</f>
        <v>11.10452877793746</v>
      </c>
      <c r="E49" s="32">
        <v>13</v>
      </c>
      <c r="F49" s="54">
        <f t="shared" ref="F49:F50" si="3">$E49*(1-$K49)^(F$24-$E$45)</f>
        <v>13.5425328302765</v>
      </c>
      <c r="G49" s="58">
        <v>15</v>
      </c>
      <c r="H49" s="51"/>
      <c r="I49" t="s">
        <v>64</v>
      </c>
      <c r="J49" s="168">
        <f t="shared" si="2"/>
        <v>-5.3936404957617201E-2</v>
      </c>
      <c r="K49" s="44">
        <f t="shared" ref="K49:K50" si="4">1-(G49/E49)^(1/(G$45-E$45))</f>
        <v>-2.0653366543536E-2</v>
      </c>
    </row>
    <row r="50" spans="1:11" ht="14.7" thickBot="1" x14ac:dyDescent="0.55000000000000004">
      <c r="B50" s="5" t="s">
        <v>65</v>
      </c>
      <c r="C50" s="33">
        <f>C8</f>
        <v>82</v>
      </c>
      <c r="D50" s="55">
        <f>$C50*(1-$J50)^(D$24-$C$24)</f>
        <v>84.820856299615656</v>
      </c>
      <c r="E50" s="33">
        <v>87</v>
      </c>
      <c r="F50" s="55">
        <f t="shared" si="3"/>
        <v>87.566797723710451</v>
      </c>
      <c r="G50" s="59">
        <v>89</v>
      </c>
      <c r="H50" s="49"/>
      <c r="I50" s="6" t="s">
        <v>66</v>
      </c>
      <c r="J50" s="169">
        <f t="shared" si="2"/>
        <v>-8.4914022147526413E-3</v>
      </c>
      <c r="K50" s="166">
        <f t="shared" si="4"/>
        <v>-3.2521698777869812E-3</v>
      </c>
    </row>
    <row r="51" spans="1:11" ht="14.7" thickBot="1" x14ac:dyDescent="0.55000000000000004">
      <c r="J51" s="168"/>
      <c r="K51" s="44"/>
    </row>
    <row r="52" spans="1:11" x14ac:dyDescent="0.5">
      <c r="A52" s="3" t="s">
        <v>345</v>
      </c>
      <c r="B52" s="4"/>
      <c r="C52" s="4">
        <v>2016</v>
      </c>
      <c r="D52" s="4">
        <v>2017</v>
      </c>
      <c r="E52" s="29">
        <v>2020</v>
      </c>
      <c r="F52" s="29">
        <v>2025</v>
      </c>
      <c r="G52" s="29">
        <v>2030</v>
      </c>
      <c r="H52" s="4">
        <v>2050</v>
      </c>
      <c r="I52" s="4" t="s">
        <v>59</v>
      </c>
      <c r="J52" s="170"/>
      <c r="K52" s="167"/>
    </row>
    <row r="53" spans="1:11" x14ac:dyDescent="0.5">
      <c r="B53" s="3" t="s">
        <v>267</v>
      </c>
      <c r="C53" s="32">
        <f>C4</f>
        <v>210</v>
      </c>
      <c r="D53" s="92">
        <v>550</v>
      </c>
      <c r="E53" s="102">
        <v>500</v>
      </c>
      <c r="F53" s="65">
        <f>$E53*(1-$K53)^(F$45-$E$45)</f>
        <v>469.2182342983487</v>
      </c>
      <c r="G53" s="65">
        <f>$E53*(1-$K53)^(G$45-$E$45)</f>
        <v>400.301366178291</v>
      </c>
      <c r="H53" s="51"/>
      <c r="I53" t="s">
        <v>268</v>
      </c>
      <c r="J53" s="168">
        <f>1-(D53/C53)^(1/(D$45-C$45))</f>
        <v>-0.27214275434220592</v>
      </c>
      <c r="K53" s="44">
        <f>1-(E53/D53)^(1/(E$45-D$45))</f>
        <v>3.1270693848535758E-2</v>
      </c>
    </row>
    <row r="54" spans="1:11" x14ac:dyDescent="0.5">
      <c r="B54" s="3" t="s">
        <v>269</v>
      </c>
      <c r="C54" s="32">
        <f t="shared" ref="C54:C57" si="5">C5</f>
        <v>0</v>
      </c>
      <c r="D54" s="51"/>
      <c r="E54" s="51"/>
      <c r="F54" s="51"/>
      <c r="G54" s="51"/>
      <c r="H54" s="51"/>
      <c r="I54" t="s">
        <v>61</v>
      </c>
      <c r="J54" s="168"/>
      <c r="K54" s="44"/>
    </row>
    <row r="55" spans="1:11" x14ac:dyDescent="0.5">
      <c r="B55" s="3" t="s">
        <v>259</v>
      </c>
      <c r="C55" s="92">
        <f t="shared" si="5"/>
        <v>1500</v>
      </c>
      <c r="D55" s="51"/>
      <c r="E55" s="51"/>
      <c r="F55" s="51"/>
      <c r="G55" s="51"/>
      <c r="H55" s="51"/>
      <c r="I55" t="s">
        <v>105</v>
      </c>
      <c r="J55" s="168"/>
      <c r="K55" s="44"/>
    </row>
    <row r="56" spans="1:11" x14ac:dyDescent="0.5">
      <c r="B56" s="3" t="s">
        <v>260</v>
      </c>
      <c r="C56" s="92">
        <f t="shared" si="5"/>
        <v>9</v>
      </c>
      <c r="D56" s="51"/>
      <c r="E56" s="51"/>
      <c r="F56" s="51"/>
      <c r="G56" s="51"/>
      <c r="H56" s="51"/>
      <c r="I56" t="s">
        <v>64</v>
      </c>
      <c r="J56" s="168"/>
      <c r="K56" s="44"/>
    </row>
    <row r="57" spans="1:11" ht="14.7" thickBot="1" x14ac:dyDescent="0.55000000000000004">
      <c r="B57" s="5" t="s">
        <v>65</v>
      </c>
      <c r="C57" s="93">
        <f t="shared" si="5"/>
        <v>82</v>
      </c>
      <c r="D57" s="49"/>
      <c r="E57" s="49"/>
      <c r="F57" s="49"/>
      <c r="G57" s="49"/>
      <c r="H57" s="49"/>
      <c r="I57" s="6" t="s">
        <v>66</v>
      </c>
      <c r="J57" s="169"/>
      <c r="K57" s="166"/>
    </row>
    <row r="58" spans="1:11" ht="14.7" thickBot="1" x14ac:dyDescent="0.55000000000000004"/>
    <row r="59" spans="1:11" x14ac:dyDescent="0.5">
      <c r="A59" s="3" t="s">
        <v>367</v>
      </c>
      <c r="B59" s="4"/>
      <c r="C59" s="4">
        <v>2016</v>
      </c>
      <c r="D59" s="29">
        <v>2020</v>
      </c>
      <c r="E59" s="223">
        <v>2021</v>
      </c>
      <c r="F59" s="29">
        <v>2025</v>
      </c>
      <c r="G59" s="29">
        <v>2030</v>
      </c>
      <c r="H59" s="4">
        <v>2050</v>
      </c>
      <c r="I59" s="4" t="s">
        <v>59</v>
      </c>
      <c r="J59" s="170"/>
      <c r="K59" s="167"/>
    </row>
    <row r="60" spans="1:11" x14ac:dyDescent="0.5">
      <c r="B60" s="3" t="s">
        <v>267</v>
      </c>
      <c r="C60" s="92">
        <f>C4</f>
        <v>210</v>
      </c>
      <c r="D60" s="54">
        <f>C60*(1-J60)^(D59-C59)</f>
        <v>320.33460522670538</v>
      </c>
      <c r="E60" s="102">
        <v>356</v>
      </c>
      <c r="F60" s="54">
        <f>E60*(1-$K60)^(F59-E59)</f>
        <v>338.58058591315648</v>
      </c>
      <c r="G60" s="212">
        <v>318</v>
      </c>
      <c r="H60" s="47"/>
      <c r="I60" t="s">
        <v>268</v>
      </c>
      <c r="J60" s="168">
        <f>1-(E60/C60)^(1/(E59-C59))</f>
        <v>-0.11133793911542522</v>
      </c>
      <c r="K60" s="44">
        <f>1-(G60/E60)^(1/(G59-E59))</f>
        <v>1.2463824821577041E-2</v>
      </c>
    </row>
    <row r="61" spans="1:11" x14ac:dyDescent="0.5">
      <c r="B61" s="3" t="s">
        <v>269</v>
      </c>
      <c r="C61" s="92">
        <f>C5</f>
        <v>0</v>
      </c>
      <c r="D61" s="47"/>
      <c r="E61" s="47"/>
      <c r="F61" s="47"/>
      <c r="G61" s="47"/>
      <c r="H61" s="47"/>
      <c r="I61" t="s">
        <v>61</v>
      </c>
      <c r="J61" s="168"/>
      <c r="K61" s="44"/>
    </row>
    <row r="62" spans="1:11" x14ac:dyDescent="0.5">
      <c r="B62" s="3" t="s">
        <v>259</v>
      </c>
      <c r="C62" s="92">
        <f>C6</f>
        <v>1500</v>
      </c>
      <c r="D62" s="47"/>
      <c r="E62" s="208">
        <v>1500</v>
      </c>
      <c r="F62" s="47"/>
      <c r="G62" s="208">
        <v>1500</v>
      </c>
      <c r="H62" s="47"/>
      <c r="I62" t="s">
        <v>105</v>
      </c>
      <c r="J62" s="168"/>
      <c r="K62" s="44"/>
    </row>
    <row r="63" spans="1:11" x14ac:dyDescent="0.5">
      <c r="B63" s="3" t="s">
        <v>260</v>
      </c>
      <c r="C63" s="92">
        <f>C7</f>
        <v>9</v>
      </c>
      <c r="D63" s="47"/>
      <c r="E63" s="208">
        <v>12</v>
      </c>
      <c r="F63" s="47"/>
      <c r="G63" s="208">
        <v>12</v>
      </c>
      <c r="H63" s="47"/>
      <c r="I63" t="s">
        <v>64</v>
      </c>
      <c r="J63" s="168"/>
      <c r="K63" s="44"/>
    </row>
    <row r="64" spans="1:11" ht="14.7" thickBot="1" x14ac:dyDescent="0.55000000000000004">
      <c r="B64" s="5" t="s">
        <v>65</v>
      </c>
      <c r="C64" s="93">
        <f>C8</f>
        <v>82</v>
      </c>
      <c r="D64" s="171"/>
      <c r="E64" s="211">
        <v>75</v>
      </c>
      <c r="F64" s="171"/>
      <c r="G64" s="211">
        <v>75</v>
      </c>
      <c r="H64" s="171"/>
      <c r="I64" s="6" t="s">
        <v>66</v>
      </c>
      <c r="J64" s="169"/>
      <c r="K64" s="166"/>
    </row>
    <row r="65" spans="1:11" ht="14.7" thickBot="1" x14ac:dyDescent="0.55000000000000004"/>
    <row r="66" spans="1:11" x14ac:dyDescent="0.5">
      <c r="A66" s="3" t="s">
        <v>368</v>
      </c>
      <c r="B66" s="4"/>
      <c r="C66" s="4">
        <v>2016</v>
      </c>
      <c r="D66" s="29">
        <v>2020</v>
      </c>
      <c r="E66" s="223">
        <v>2021</v>
      </c>
      <c r="F66" s="29">
        <v>2025</v>
      </c>
      <c r="G66" s="29">
        <v>2030</v>
      </c>
      <c r="H66" s="4">
        <v>2050</v>
      </c>
      <c r="I66" s="4" t="s">
        <v>59</v>
      </c>
      <c r="J66" s="170"/>
      <c r="K66" s="167"/>
    </row>
    <row r="67" spans="1:11" x14ac:dyDescent="0.5">
      <c r="B67" s="3" t="s">
        <v>267</v>
      </c>
      <c r="C67" s="92">
        <f>C1</f>
        <v>0</v>
      </c>
      <c r="D67" s="57"/>
      <c r="E67" s="256"/>
      <c r="F67" s="57"/>
      <c r="G67" s="57"/>
      <c r="H67" s="47"/>
      <c r="I67" t="s">
        <v>268</v>
      </c>
      <c r="J67" s="168" t="e">
        <f>1-(E67/C67)^(1/(E66-C66))</f>
        <v>#DIV/0!</v>
      </c>
      <c r="K67" s="44"/>
    </row>
    <row r="68" spans="1:11" x14ac:dyDescent="0.5">
      <c r="B68" s="3" t="s">
        <v>269</v>
      </c>
      <c r="C68" s="92">
        <f>C2</f>
        <v>0</v>
      </c>
      <c r="D68" s="47"/>
      <c r="E68" s="47"/>
      <c r="F68" s="47"/>
      <c r="G68" s="47"/>
      <c r="H68" s="47"/>
      <c r="I68" t="s">
        <v>61</v>
      </c>
      <c r="J68" s="168"/>
      <c r="K68" s="44"/>
    </row>
    <row r="69" spans="1:11" x14ac:dyDescent="0.5">
      <c r="B69" s="3" t="s">
        <v>259</v>
      </c>
      <c r="C69" s="92">
        <f>C3</f>
        <v>2016</v>
      </c>
      <c r="D69" s="47"/>
      <c r="E69" s="48"/>
      <c r="F69" s="47"/>
      <c r="G69" s="48"/>
      <c r="H69" s="47"/>
      <c r="I69" t="s">
        <v>105</v>
      </c>
      <c r="J69" s="168"/>
      <c r="K69" s="44"/>
    </row>
    <row r="70" spans="1:11" x14ac:dyDescent="0.5">
      <c r="B70" s="3" t="s">
        <v>260</v>
      </c>
      <c r="C70" s="92">
        <f>C4</f>
        <v>210</v>
      </c>
      <c r="D70" s="47"/>
      <c r="E70" s="48"/>
      <c r="F70" s="47"/>
      <c r="G70" s="48"/>
      <c r="H70" s="47"/>
      <c r="I70" t="s">
        <v>64</v>
      </c>
      <c r="J70" s="168"/>
      <c r="K70" s="44"/>
    </row>
    <row r="71" spans="1:11" x14ac:dyDescent="0.5">
      <c r="B71" s="3" t="s">
        <v>65</v>
      </c>
      <c r="C71" s="92">
        <f>C5</f>
        <v>0</v>
      </c>
      <c r="D71" s="47"/>
      <c r="E71" s="48"/>
      <c r="F71" s="47"/>
      <c r="G71" s="48"/>
      <c r="H71" s="47"/>
      <c r="I71" t="s">
        <v>66</v>
      </c>
      <c r="J71" s="168"/>
      <c r="K71" s="44"/>
    </row>
    <row r="72" spans="1:11" ht="14.7" thickBot="1" x14ac:dyDescent="0.55000000000000004">
      <c r="B72" s="5" t="s">
        <v>369</v>
      </c>
      <c r="C72" s="257"/>
      <c r="D72" s="171"/>
      <c r="E72" s="49"/>
      <c r="F72" s="258" t="s">
        <v>370</v>
      </c>
      <c r="G72" s="49"/>
      <c r="H72" s="171"/>
      <c r="I72" s="6" t="s">
        <v>74</v>
      </c>
      <c r="J72" s="169"/>
      <c r="K72" s="166"/>
    </row>
  </sheetData>
  <hyperlinks>
    <hyperlink ref="E16" r:id="rId1" xr:uid="{00000000-0004-0000-1000-000001000000}"/>
    <hyperlink ref="E17" r:id="rId2" xr:uid="{00000000-0004-0000-1000-000002000000}"/>
    <hyperlink ref="E18" r:id="rId3" xr:uid="{00000000-0004-0000-1000-000003000000}"/>
    <hyperlink ref="E19" r:id="rId4" xr:uid="{00000000-0004-0000-1000-000004000000}"/>
    <hyperlink ref="E15" r:id="rId5" xr:uid="{AFE30966-69EC-425A-8945-B72662F48567}"/>
    <hyperlink ref="E20" r:id="rId6" xr:uid="{224A7F57-BB95-418D-B387-5410E02CCA11}"/>
  </hyperlinks>
  <pageMargins left="0.7" right="0.7" top="0.75" bottom="0.75" header="0.3" footer="0.3"/>
  <pageSetup paperSize="9" orientation="portrait" r:id="rId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Tabelle17"/>
  <dimension ref="B3:L18"/>
  <sheetViews>
    <sheetView workbookViewId="0">
      <selection activeCell="L17" sqref="L17"/>
    </sheetView>
  </sheetViews>
  <sheetFormatPr defaultColWidth="11.46875" defaultRowHeight="14.35" x14ac:dyDescent="0.5"/>
  <cols>
    <col min="2" max="2" width="27.64453125" bestFit="1" customWidth="1"/>
    <col min="12" max="12" width="20.17578125" bestFit="1" customWidth="1"/>
  </cols>
  <sheetData>
    <row r="3" spans="2:12" x14ac:dyDescent="0.5">
      <c r="C3" s="425">
        <v>2016</v>
      </c>
      <c r="D3" s="425"/>
      <c r="E3" s="425"/>
      <c r="F3" s="426">
        <v>2025</v>
      </c>
      <c r="G3" s="426"/>
      <c r="H3" s="426"/>
      <c r="I3" s="426">
        <v>2030</v>
      </c>
      <c r="J3" s="426"/>
      <c r="K3" s="426"/>
      <c r="L3" s="105"/>
    </row>
    <row r="4" spans="2:12" ht="18.350000000000001" thickBot="1" x14ac:dyDescent="0.65">
      <c r="B4" s="104" t="s">
        <v>374</v>
      </c>
      <c r="C4" s="106" t="s">
        <v>56</v>
      </c>
      <c r="D4" s="106" t="s">
        <v>57</v>
      </c>
      <c r="E4" s="106" t="s">
        <v>58</v>
      </c>
      <c r="F4" s="106" t="s">
        <v>56</v>
      </c>
      <c r="G4" s="106" t="s">
        <v>57</v>
      </c>
      <c r="H4" s="106" t="s">
        <v>58</v>
      </c>
      <c r="I4" s="106" t="s">
        <v>56</v>
      </c>
      <c r="J4" s="106" t="s">
        <v>57</v>
      </c>
      <c r="K4" s="106" t="s">
        <v>58</v>
      </c>
      <c r="L4" s="106" t="s">
        <v>59</v>
      </c>
    </row>
    <row r="5" spans="2:12" x14ac:dyDescent="0.5">
      <c r="B5" s="18" t="s">
        <v>255</v>
      </c>
      <c r="C5" s="81">
        <f>'Overview 2016 (in)'!G22</f>
        <v>100</v>
      </c>
      <c r="D5" s="19">
        <f>'Overview 2016 (in)'!H22</f>
        <v>50</v>
      </c>
      <c r="E5" s="20">
        <f>'Overview 2016 (in)'!I22</f>
        <v>80</v>
      </c>
      <c r="F5" s="81">
        <f t="shared" ref="F5:F15" si="0">IFERROR(C5*H5/E5,0)</f>
        <v>100</v>
      </c>
      <c r="G5" s="19">
        <f t="shared" ref="G5:G15" si="1">IFERROR(D5*H5/E5, 0)</f>
        <v>50</v>
      </c>
      <c r="H5" s="20">
        <f>E5</f>
        <v>80</v>
      </c>
      <c r="I5" s="81">
        <f>IFERROR(F5*K5/H5,0)</f>
        <v>100</v>
      </c>
      <c r="J5" s="19">
        <f>IFERROR(G5*K5/H5, 0)</f>
        <v>50</v>
      </c>
      <c r="K5" s="20">
        <f>H5</f>
        <v>80</v>
      </c>
      <c r="L5" s="21" t="s">
        <v>256</v>
      </c>
    </row>
    <row r="6" spans="2:12" x14ac:dyDescent="0.5">
      <c r="B6" s="3" t="s">
        <v>257</v>
      </c>
      <c r="C6" s="82">
        <f>'Overview 2016 (in)'!G23</f>
        <v>700</v>
      </c>
      <c r="D6" s="83">
        <f>'Overview 2016 (in)'!H23</f>
        <v>10</v>
      </c>
      <c r="E6" s="84">
        <f>'Overview 2016 (in)'!I23</f>
        <v>350</v>
      </c>
      <c r="F6" s="82">
        <f t="shared" si="0"/>
        <v>700</v>
      </c>
      <c r="G6" s="83">
        <f t="shared" si="1"/>
        <v>10</v>
      </c>
      <c r="H6" s="84">
        <f>E6</f>
        <v>350</v>
      </c>
      <c r="I6" s="82">
        <f t="shared" ref="I6:I15" si="2">IFERROR(F6*K6/H6,0)</f>
        <v>700</v>
      </c>
      <c r="J6" s="83">
        <f t="shared" ref="J6:J13" si="3">IFERROR(G6*K6/H6, 0)</f>
        <v>10</v>
      </c>
      <c r="K6" s="84">
        <f>H6</f>
        <v>350</v>
      </c>
      <c r="L6" s="22" t="s">
        <v>258</v>
      </c>
    </row>
    <row r="7" spans="2:12" x14ac:dyDescent="0.5">
      <c r="B7" s="18" t="s">
        <v>259</v>
      </c>
      <c r="C7" s="85">
        <f>'Overview 2016 (in)'!G24</f>
        <v>2500</v>
      </c>
      <c r="D7" s="23">
        <f>'Overview 2016 (in)'!H24</f>
        <v>250</v>
      </c>
      <c r="E7" s="107">
        <f>'Overview 2016 (in)'!I24</f>
        <v>1500</v>
      </c>
      <c r="F7" s="85">
        <f t="shared" ca="1" si="0"/>
        <v>4166.666666666667</v>
      </c>
      <c r="G7" s="23">
        <f t="shared" ca="1" si="1"/>
        <v>416.66666666666669</v>
      </c>
      <c r="H7" s="107">
        <f ca="1">INDIRECT(ADDRESS(ROW($B6),COLUMN(E$4),1,,$B$4))</f>
        <v>2500</v>
      </c>
      <c r="I7" s="85">
        <f t="shared" ca="1" si="2"/>
        <v>5000</v>
      </c>
      <c r="J7" s="23">
        <f t="shared" ca="1" si="3"/>
        <v>500</v>
      </c>
      <c r="K7" s="107">
        <f ca="1">INDIRECT(ADDRESS(ROW($B6),COLUMN($F4),1,,$B$4))</f>
        <v>3000</v>
      </c>
      <c r="L7" s="21" t="s">
        <v>105</v>
      </c>
    </row>
    <row r="8" spans="2:12" x14ac:dyDescent="0.5">
      <c r="B8" s="3" t="s">
        <v>260</v>
      </c>
      <c r="C8" s="86">
        <f>'Overview 2016 (in)'!G25</f>
        <v>15</v>
      </c>
      <c r="D8" s="87">
        <f>'Overview 2016 (in)'!H25</f>
        <v>3</v>
      </c>
      <c r="E8" s="109">
        <f>'Overview 2016 (in)'!I25</f>
        <v>9</v>
      </c>
      <c r="F8" s="86">
        <f t="shared" ca="1" si="0"/>
        <v>20</v>
      </c>
      <c r="G8" s="87">
        <f t="shared" ca="1" si="1"/>
        <v>4</v>
      </c>
      <c r="H8" s="109">
        <f ca="1">INDIRECT(ADDRESS(ROW($B7),COLUMN(E$4),1,,$B$4))</f>
        <v>12</v>
      </c>
      <c r="I8" s="86">
        <f t="shared" ca="1" si="2"/>
        <v>25</v>
      </c>
      <c r="J8" s="87">
        <f t="shared" ca="1" si="3"/>
        <v>5</v>
      </c>
      <c r="K8" s="109">
        <f ca="1">INDIRECT(ADDRESS(ROW($B7),COLUMN($F4),1,,$B$4))</f>
        <v>15</v>
      </c>
      <c r="L8" s="22" t="s">
        <v>64</v>
      </c>
    </row>
    <row r="9" spans="2:12" x14ac:dyDescent="0.5">
      <c r="B9" s="18" t="s">
        <v>81</v>
      </c>
      <c r="C9" s="85">
        <f>'Overview 2016 (in)'!G26</f>
        <v>50</v>
      </c>
      <c r="D9" s="23">
        <f>'Overview 2016 (in)'!H26</f>
        <v>60</v>
      </c>
      <c r="E9" s="24">
        <f>'Overview 2016 (in)'!I26</f>
        <v>50</v>
      </c>
      <c r="F9" s="85">
        <f t="shared" si="0"/>
        <v>50</v>
      </c>
      <c r="G9" s="23">
        <f t="shared" si="1"/>
        <v>60</v>
      </c>
      <c r="H9" s="24">
        <f>E9</f>
        <v>50</v>
      </c>
      <c r="I9" s="85">
        <f t="shared" si="2"/>
        <v>50</v>
      </c>
      <c r="J9" s="23">
        <f t="shared" si="3"/>
        <v>60</v>
      </c>
      <c r="K9" s="24">
        <f>H9</f>
        <v>50</v>
      </c>
      <c r="L9" s="21" t="s">
        <v>66</v>
      </c>
    </row>
    <row r="10" spans="2:12" x14ac:dyDescent="0.5">
      <c r="B10" s="3" t="s">
        <v>65</v>
      </c>
      <c r="C10" s="86">
        <f>'Overview 2016 (in)'!G27</f>
        <v>92</v>
      </c>
      <c r="D10" s="87">
        <f>'Overview 2016 (in)'!H27</f>
        <v>75</v>
      </c>
      <c r="E10" s="109">
        <f>'Overview 2016 (in)'!I27</f>
        <v>82</v>
      </c>
      <c r="F10" s="86">
        <f t="shared" ca="1" si="0"/>
        <v>92</v>
      </c>
      <c r="G10" s="87">
        <f t="shared" ca="1" si="1"/>
        <v>75</v>
      </c>
      <c r="H10" s="109">
        <f ca="1">INDIRECT(ADDRESS(ROW($B8),COLUMN(E$4),1,,$B$4))</f>
        <v>82</v>
      </c>
      <c r="I10" s="86">
        <f t="shared" ca="1" si="2"/>
        <v>92</v>
      </c>
      <c r="J10" s="87">
        <f t="shared" ca="1" si="3"/>
        <v>75</v>
      </c>
      <c r="K10" s="109">
        <f ca="1">INDIRECT(ADDRESS(ROW($B8),COLUMN($F4),1,,$B$4))</f>
        <v>82</v>
      </c>
      <c r="L10" s="22" t="s">
        <v>66</v>
      </c>
    </row>
    <row r="11" spans="2:12" x14ac:dyDescent="0.5">
      <c r="B11" s="18" t="s">
        <v>137</v>
      </c>
      <c r="C11" s="81">
        <f>'Overview 2016 (in)'!G28</f>
        <v>0.09</v>
      </c>
      <c r="D11" s="19">
        <f>'Overview 2016 (in)'!H28</f>
        <v>0.4</v>
      </c>
      <c r="E11" s="20">
        <f>'Overview 2016 (in)'!I28</f>
        <v>0.25</v>
      </c>
      <c r="F11" s="81">
        <f t="shared" si="0"/>
        <v>0.09</v>
      </c>
      <c r="G11" s="19">
        <f t="shared" si="1"/>
        <v>0.4</v>
      </c>
      <c r="H11" s="20">
        <f>E11</f>
        <v>0.25</v>
      </c>
      <c r="I11" s="81">
        <f t="shared" si="2"/>
        <v>0.09</v>
      </c>
      <c r="J11" s="19">
        <f t="shared" si="3"/>
        <v>0.4</v>
      </c>
      <c r="K11" s="20">
        <f>H11</f>
        <v>0.25</v>
      </c>
      <c r="L11" s="21" t="s">
        <v>261</v>
      </c>
    </row>
    <row r="12" spans="2:12" x14ac:dyDescent="0.5">
      <c r="B12" s="28" t="s">
        <v>262</v>
      </c>
      <c r="C12" s="82">
        <f>'Overview 2016 (in)'!G29</f>
        <v>3.0000000000000001E-3</v>
      </c>
      <c r="D12" s="83">
        <f>'Overview 2016 (in)'!H29</f>
        <v>0.01</v>
      </c>
      <c r="E12" s="84">
        <f>'Overview 2016 (in)'!I29</f>
        <v>6.0000000000000001E-3</v>
      </c>
      <c r="F12" s="82">
        <f t="shared" si="0"/>
        <v>3.0000000000000001E-3</v>
      </c>
      <c r="G12" s="83">
        <f t="shared" si="1"/>
        <v>0.01</v>
      </c>
      <c r="H12" s="84">
        <f>E12</f>
        <v>6.0000000000000001E-3</v>
      </c>
      <c r="I12" s="82">
        <f t="shared" si="2"/>
        <v>3.0000000000000001E-3</v>
      </c>
      <c r="J12" s="83">
        <f t="shared" si="3"/>
        <v>0.01</v>
      </c>
      <c r="K12" s="84">
        <f>H12</f>
        <v>6.0000000000000001E-3</v>
      </c>
      <c r="L12" s="88" t="s">
        <v>265</v>
      </c>
    </row>
    <row r="13" spans="2:12" x14ac:dyDescent="0.5">
      <c r="B13" s="89" t="s">
        <v>266</v>
      </c>
      <c r="C13" s="90">
        <f>'Overview 2016 (in)'!G30</f>
        <v>0</v>
      </c>
      <c r="D13" s="25">
        <f>'Overview 2016 (in)'!H30</f>
        <v>0</v>
      </c>
      <c r="E13" s="26">
        <f>'Overview 2016 (in)'!I30</f>
        <v>0</v>
      </c>
      <c r="F13" s="90">
        <f t="shared" si="0"/>
        <v>0</v>
      </c>
      <c r="G13" s="25">
        <f t="shared" si="1"/>
        <v>0</v>
      </c>
      <c r="H13" s="26">
        <f>E13</f>
        <v>0</v>
      </c>
      <c r="I13" s="90">
        <f t="shared" si="2"/>
        <v>0</v>
      </c>
      <c r="J13" s="25">
        <f t="shared" si="3"/>
        <v>0</v>
      </c>
      <c r="K13" s="26">
        <f>H13</f>
        <v>0</v>
      </c>
      <c r="L13" s="21" t="s">
        <v>64</v>
      </c>
    </row>
    <row r="14" spans="2:12" x14ac:dyDescent="0.5">
      <c r="B14" s="28" t="s">
        <v>267</v>
      </c>
      <c r="C14" s="86">
        <f>'Overview 2016 (in)'!G31</f>
        <v>105</v>
      </c>
      <c r="D14" s="87">
        <f>'Overview 2016 (in)'!H31</f>
        <v>472.5</v>
      </c>
      <c r="E14" s="108">
        <f>'Overview 2016 (in)'!I31</f>
        <v>210</v>
      </c>
      <c r="F14" s="86">
        <f t="shared" ca="1" si="0"/>
        <v>77</v>
      </c>
      <c r="G14" s="87">
        <f t="shared" ca="1" si="1"/>
        <v>346.5</v>
      </c>
      <c r="H14" s="108">
        <f ca="1">IF(CELL("format",INDIRECT(ADDRESS(ROW($B4),COLUMN(E$4),1,,$B$4)))="W0-",INDIRECT(ADDRESS(ROW($B4),COLUMN(E$4),1,,$B$4))*'Overview 2016 (in)'!$O$7,INDIRECT(ADDRESS(ROW($B4),COLUMN(E$4),1,,$B$4)))</f>
        <v>154</v>
      </c>
      <c r="I14" s="86">
        <f t="shared" ca="1" si="2"/>
        <v>70</v>
      </c>
      <c r="J14" s="87">
        <f t="shared" ref="J14:J15" ca="1" si="4">IFERROR(G14*K14/H14,0)</f>
        <v>315</v>
      </c>
      <c r="K14" s="108">
        <f ca="1">IF(CELL("format",INDIRECT(ADDRESS(ROW($B4),COLUMN($F4),1,,$B$4)))="W0-",INDIRECT(ADDRESS(ROW($B4),COLUMN($F4),1,,$B$4))*'Overview 2016 (in)'!$O$7,INDIRECT(ADDRESS(ROW($B4),COLUMN($F4),1,,$B$4)))</f>
        <v>140</v>
      </c>
      <c r="L14" s="88" t="s">
        <v>268</v>
      </c>
    </row>
    <row r="15" spans="2:12" x14ac:dyDescent="0.5">
      <c r="B15" s="89" t="s">
        <v>269</v>
      </c>
      <c r="C15" s="23">
        <f>'Overview 2016 (in)'!G32</f>
        <v>0</v>
      </c>
      <c r="D15" s="23">
        <f>'Overview 2016 (in)'!H32</f>
        <v>0</v>
      </c>
      <c r="E15" s="107">
        <f>'Overview 2016 (in)'!I32</f>
        <v>0</v>
      </c>
      <c r="F15" s="23">
        <f t="shared" ca="1" si="0"/>
        <v>0</v>
      </c>
      <c r="G15" s="23">
        <f t="shared" ca="1" si="1"/>
        <v>0</v>
      </c>
      <c r="H15" s="107">
        <f ca="1">IF(CELL("format",INDIRECT(ADDRESS(ROW($B5),COLUMN(E$4),1,,$B$4)))="W0-",INDIRECT(ADDRESS(ROW($B5),COLUMN(E$4),1,,$B$4))*'Overview 2016 (in)'!$O$7,INDIRECT(ADDRESS(ROW($B5),COLUMN(E$4),1,,$B$4)))</f>
        <v>0</v>
      </c>
      <c r="I15" s="23">
        <f t="shared" ca="1" si="2"/>
        <v>0</v>
      </c>
      <c r="J15" s="23">
        <f t="shared" ca="1" si="4"/>
        <v>0</v>
      </c>
      <c r="K15" s="107">
        <f ca="1">IF(CELL("format",INDIRECT(ADDRESS(ROW($B5),COLUMN($F4),1,,$B$4)))="W0-",INDIRECT(ADDRESS(ROW($B5),COLUMN($F4),1,,$B$4))*'Overview 2016 (in)'!$O$7,INDIRECT(ADDRESS(ROW($B5),COLUMN($F4),1,,$B$4)))</f>
        <v>0</v>
      </c>
      <c r="L15" s="21" t="s">
        <v>61</v>
      </c>
    </row>
    <row r="16" spans="2:12" ht="14.7" thickBot="1" x14ac:dyDescent="0.55000000000000004">
      <c r="B16" s="245" t="s">
        <v>51</v>
      </c>
      <c r="C16" s="253">
        <f>'VRLA (calc)'!C9</f>
        <v>1</v>
      </c>
      <c r="D16" s="253">
        <f>'VRLA (calc)'!C10</f>
        <v>10</v>
      </c>
      <c r="E16" s="254">
        <f>AVERAGE(C16:D16)</f>
        <v>5.5</v>
      </c>
      <c r="F16" s="253">
        <f>C16</f>
        <v>1</v>
      </c>
      <c r="G16" s="253">
        <f>D16</f>
        <v>10</v>
      </c>
      <c r="H16" s="254" cm="1">
        <f t="array" ref="H16">_xlfn.ANCHORARRAY(E16)</f>
        <v>5.5</v>
      </c>
      <c r="I16" s="253">
        <f>C16</f>
        <v>1</v>
      </c>
      <c r="J16" s="253">
        <f>D16</f>
        <v>10</v>
      </c>
      <c r="K16" s="254">
        <f>E16</f>
        <v>5.5</v>
      </c>
      <c r="L16" s="135" t="s">
        <v>74</v>
      </c>
    </row>
    <row r="17" spans="2:3" x14ac:dyDescent="0.5">
      <c r="C17" s="111"/>
    </row>
    <row r="18" spans="2:3" ht="18" x14ac:dyDescent="0.6">
      <c r="B18" s="1"/>
    </row>
  </sheetData>
  <mergeCells count="3">
    <mergeCell ref="C3:E3"/>
    <mergeCell ref="F3:H3"/>
    <mergeCell ref="I3:K3"/>
  </mergeCells>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8">
    <tabColor rgb="FFFFC000"/>
  </sheetPr>
  <dimension ref="A2:L114"/>
  <sheetViews>
    <sheetView topLeftCell="A73" workbookViewId="0">
      <selection activeCell="B11" sqref="B11"/>
    </sheetView>
  </sheetViews>
  <sheetFormatPr defaultColWidth="9.17578125" defaultRowHeight="14.35" x14ac:dyDescent="0.5"/>
  <cols>
    <col min="1" max="1" width="12.64453125" customWidth="1"/>
    <col min="2" max="2" width="26.52734375" customWidth="1"/>
    <col min="3" max="3" width="12.64453125" customWidth="1"/>
    <col min="4" max="4" width="22.52734375" customWidth="1"/>
    <col min="5" max="5" width="24" customWidth="1"/>
    <col min="6" max="8" width="10.64453125" customWidth="1"/>
    <col min="9" max="9" width="20.29296875" customWidth="1"/>
    <col min="10" max="10" width="13.8203125" customWidth="1"/>
    <col min="11" max="16" width="12.64453125" customWidth="1"/>
    <col min="17" max="17" width="9.52734375" bestFit="1" customWidth="1"/>
  </cols>
  <sheetData>
    <row r="2" spans="2:12" ht="18.350000000000001" thickBot="1" x14ac:dyDescent="0.65">
      <c r="B2" s="1" t="s">
        <v>240</v>
      </c>
      <c r="C2" s="9"/>
      <c r="J2" s="1" t="s">
        <v>286</v>
      </c>
    </row>
    <row r="3" spans="2:12" x14ac:dyDescent="0.5">
      <c r="B3" s="4"/>
      <c r="C3" s="4">
        <v>2016</v>
      </c>
      <c r="D3" s="29">
        <v>2025</v>
      </c>
      <c r="E3" s="29">
        <v>2030</v>
      </c>
      <c r="F3" s="4" t="s">
        <v>59</v>
      </c>
      <c r="H3" s="4" t="s">
        <v>287</v>
      </c>
      <c r="I3" s="4" t="s">
        <v>289</v>
      </c>
      <c r="J3" s="4" t="s">
        <v>290</v>
      </c>
    </row>
    <row r="4" spans="2:12" x14ac:dyDescent="0.5">
      <c r="B4" s="3" t="s">
        <v>267</v>
      </c>
      <c r="C4" s="79">
        <f>'Overview 2016 (in)'!L31</f>
        <v>420</v>
      </c>
      <c r="D4" s="32">
        <v>210</v>
      </c>
      <c r="E4" s="32">
        <v>143</v>
      </c>
      <c r="F4" t="s">
        <v>268</v>
      </c>
      <c r="H4" s="35" t="s">
        <v>350</v>
      </c>
      <c r="I4" s="35" t="s">
        <v>375</v>
      </c>
      <c r="J4" s="35" t="s">
        <v>375</v>
      </c>
    </row>
    <row r="5" spans="2:12" x14ac:dyDescent="0.5">
      <c r="B5" s="3" t="s">
        <v>269</v>
      </c>
      <c r="C5" s="79">
        <f>'Overview 2016 (in)'!L32</f>
        <v>0</v>
      </c>
      <c r="D5" s="32">
        <v>0</v>
      </c>
      <c r="E5" s="32">
        <v>0</v>
      </c>
      <c r="F5" t="s">
        <v>61</v>
      </c>
      <c r="H5" s="35" t="s">
        <v>350</v>
      </c>
      <c r="I5">
        <v>1</v>
      </c>
      <c r="J5">
        <v>1</v>
      </c>
    </row>
    <row r="6" spans="2:12" x14ac:dyDescent="0.5">
      <c r="B6" s="3" t="s">
        <v>259</v>
      </c>
      <c r="C6" s="92">
        <f>'Overview 2016 (in)'!L24</f>
        <v>2000</v>
      </c>
      <c r="D6" s="92">
        <v>2000</v>
      </c>
      <c r="E6" s="92">
        <v>2000</v>
      </c>
      <c r="F6" t="s">
        <v>105</v>
      </c>
      <c r="G6" t="s">
        <v>47</v>
      </c>
      <c r="H6" s="35" t="s">
        <v>350</v>
      </c>
      <c r="I6" t="s">
        <v>291</v>
      </c>
      <c r="J6" t="s">
        <v>291</v>
      </c>
    </row>
    <row r="7" spans="2:12" x14ac:dyDescent="0.5">
      <c r="B7" s="3" t="s">
        <v>260</v>
      </c>
      <c r="C7">
        <f>'Overview 2016 (in)'!L25</f>
        <v>12</v>
      </c>
      <c r="D7">
        <v>20</v>
      </c>
      <c r="E7">
        <v>20</v>
      </c>
      <c r="F7" t="s">
        <v>64</v>
      </c>
      <c r="H7" s="35" t="s">
        <v>350</v>
      </c>
      <c r="I7">
        <v>10</v>
      </c>
      <c r="J7">
        <v>10</v>
      </c>
    </row>
    <row r="8" spans="2:12" x14ac:dyDescent="0.5">
      <c r="B8" s="3" t="s">
        <v>65</v>
      </c>
      <c r="C8">
        <f>'Overview 2016 (in)'!L27</f>
        <v>92</v>
      </c>
      <c r="D8" s="32">
        <v>92</v>
      </c>
      <c r="E8">
        <v>92</v>
      </c>
      <c r="F8" t="s">
        <v>66</v>
      </c>
      <c r="H8" s="35" t="s">
        <v>350</v>
      </c>
      <c r="I8" t="s">
        <v>291</v>
      </c>
      <c r="J8" t="s">
        <v>291</v>
      </c>
    </row>
    <row r="9" spans="2:12" x14ac:dyDescent="0.5">
      <c r="B9" s="3" t="s">
        <v>331</v>
      </c>
      <c r="C9" s="203">
        <f>1/3</f>
        <v>0.33333333333333331</v>
      </c>
      <c r="D9" s="203">
        <f t="shared" ref="D9:E9" si="0">1/3</f>
        <v>0.33333333333333331</v>
      </c>
      <c r="E9" s="203">
        <f t="shared" si="0"/>
        <v>0.33333333333333331</v>
      </c>
      <c r="F9" t="s">
        <v>344</v>
      </c>
      <c r="H9" s="35">
        <v>13</v>
      </c>
      <c r="I9">
        <v>13</v>
      </c>
      <c r="J9">
        <v>13</v>
      </c>
    </row>
    <row r="10" spans="2:12" ht="14.7" thickBot="1" x14ac:dyDescent="0.55000000000000004">
      <c r="B10" s="5" t="s">
        <v>334</v>
      </c>
      <c r="C10" s="6">
        <v>1</v>
      </c>
      <c r="D10" s="6">
        <v>1</v>
      </c>
      <c r="E10" s="6">
        <v>1</v>
      </c>
      <c r="F10" s="6" t="s">
        <v>74</v>
      </c>
      <c r="H10" s="36">
        <v>13</v>
      </c>
      <c r="I10" s="6">
        <v>13</v>
      </c>
      <c r="J10" s="6">
        <v>13</v>
      </c>
    </row>
    <row r="11" spans="2:12" x14ac:dyDescent="0.5">
      <c r="B11" s="3"/>
      <c r="I11" s="35"/>
    </row>
    <row r="12" spans="2:12" x14ac:dyDescent="0.5">
      <c r="K12" s="2" t="s">
        <v>294</v>
      </c>
    </row>
    <row r="13" spans="2:12" ht="18.350000000000001" thickBot="1" x14ac:dyDescent="0.65">
      <c r="B13" s="1" t="s">
        <v>295</v>
      </c>
      <c r="K13" s="11" t="s">
        <v>296</v>
      </c>
    </row>
    <row r="14" spans="2:12" x14ac:dyDescent="0.5">
      <c r="B14" s="7" t="s">
        <v>297</v>
      </c>
      <c r="C14" s="7" t="s">
        <v>298</v>
      </c>
      <c r="D14" s="7" t="s">
        <v>299</v>
      </c>
      <c r="E14" s="7" t="s">
        <v>300</v>
      </c>
      <c r="F14" s="46" t="s">
        <v>301</v>
      </c>
      <c r="G14" s="7"/>
      <c r="H14" s="46" t="s">
        <v>84</v>
      </c>
      <c r="I14" s="3" t="s">
        <v>163</v>
      </c>
      <c r="K14" s="40" t="s">
        <v>302</v>
      </c>
      <c r="L14" s="40"/>
    </row>
    <row r="15" spans="2:12" x14ac:dyDescent="0.5">
      <c r="B15">
        <v>1</v>
      </c>
      <c r="C15" t="s">
        <v>303</v>
      </c>
      <c r="D15" t="s">
        <v>304</v>
      </c>
      <c r="E15" s="164" t="s">
        <v>305</v>
      </c>
      <c r="F15" s="80" t="s">
        <v>306</v>
      </c>
      <c r="H15" s="22" t="s">
        <v>376</v>
      </c>
    </row>
    <row r="16" spans="2:12" x14ac:dyDescent="0.5">
      <c r="B16">
        <v>2</v>
      </c>
      <c r="C16" t="s">
        <v>307</v>
      </c>
      <c r="D16" t="s">
        <v>308</v>
      </c>
      <c r="E16" s="164" t="s">
        <v>309</v>
      </c>
      <c r="F16" s="80" t="s">
        <v>310</v>
      </c>
      <c r="H16" s="22" t="s">
        <v>376</v>
      </c>
    </row>
    <row r="17" spans="1:11" x14ac:dyDescent="0.5">
      <c r="B17">
        <v>3</v>
      </c>
      <c r="C17" t="s">
        <v>354</v>
      </c>
      <c r="D17" t="s">
        <v>355</v>
      </c>
      <c r="E17" s="164" t="s">
        <v>377</v>
      </c>
      <c r="F17" s="80" t="s">
        <v>357</v>
      </c>
      <c r="H17" s="22" t="s">
        <v>376</v>
      </c>
    </row>
    <row r="18" spans="1:11" x14ac:dyDescent="0.5">
      <c r="B18">
        <v>4</v>
      </c>
      <c r="C18" t="s">
        <v>311</v>
      </c>
      <c r="D18" t="s">
        <v>312</v>
      </c>
      <c r="E18" s="164" t="s">
        <v>378</v>
      </c>
      <c r="F18" s="80" t="s">
        <v>314</v>
      </c>
      <c r="H18" s="22" t="s">
        <v>376</v>
      </c>
    </row>
    <row r="19" spans="1:11" x14ac:dyDescent="0.5">
      <c r="B19">
        <v>5</v>
      </c>
      <c r="C19" t="s">
        <v>358</v>
      </c>
      <c r="D19" t="s">
        <v>359</v>
      </c>
      <c r="E19" s="164" t="s">
        <v>360</v>
      </c>
      <c r="F19" s="80" t="s">
        <v>361</v>
      </c>
      <c r="H19" s="22" t="s">
        <v>379</v>
      </c>
    </row>
    <row r="20" spans="1:11" x14ac:dyDescent="0.5">
      <c r="B20">
        <v>6</v>
      </c>
      <c r="C20" t="s">
        <v>380</v>
      </c>
      <c r="E20" s="186" t="s">
        <v>381</v>
      </c>
      <c r="F20" s="80" t="s">
        <v>382</v>
      </c>
      <c r="H20" s="22" t="s">
        <v>379</v>
      </c>
    </row>
    <row r="21" spans="1:11" x14ac:dyDescent="0.5">
      <c r="B21">
        <v>7</v>
      </c>
      <c r="C21" t="s">
        <v>383</v>
      </c>
      <c r="E21" s="164" t="s">
        <v>384</v>
      </c>
      <c r="F21" s="80" t="s">
        <v>382</v>
      </c>
      <c r="H21" s="22" t="s">
        <v>379</v>
      </c>
    </row>
    <row r="22" spans="1:11" x14ac:dyDescent="0.5">
      <c r="B22">
        <v>8</v>
      </c>
      <c r="C22" t="s">
        <v>385</v>
      </c>
      <c r="D22" t="s">
        <v>386</v>
      </c>
      <c r="E22" s="164" t="s">
        <v>387</v>
      </c>
      <c r="F22" s="80" t="s">
        <v>388</v>
      </c>
      <c r="H22" s="22" t="s">
        <v>379</v>
      </c>
    </row>
    <row r="23" spans="1:11" x14ac:dyDescent="0.5">
      <c r="B23">
        <v>9</v>
      </c>
      <c r="C23" t="s">
        <v>389</v>
      </c>
      <c r="E23" s="164" t="s">
        <v>390</v>
      </c>
      <c r="F23" s="80" t="s">
        <v>391</v>
      </c>
      <c r="H23" s="22" t="s">
        <v>379</v>
      </c>
    </row>
    <row r="24" spans="1:11" x14ac:dyDescent="0.5">
      <c r="B24">
        <v>10</v>
      </c>
      <c r="C24" t="s">
        <v>392</v>
      </c>
      <c r="D24" t="s">
        <v>393</v>
      </c>
      <c r="E24" s="164" t="s">
        <v>394</v>
      </c>
      <c r="F24" s="80" t="s">
        <v>395</v>
      </c>
      <c r="H24" s="22" t="s">
        <v>379</v>
      </c>
    </row>
    <row r="25" spans="1:11" x14ac:dyDescent="0.5">
      <c r="B25">
        <v>11</v>
      </c>
      <c r="C25" t="s">
        <v>396</v>
      </c>
      <c r="D25" t="s">
        <v>397</v>
      </c>
      <c r="E25" s="164" t="s">
        <v>398</v>
      </c>
      <c r="F25" s="99">
        <v>2024</v>
      </c>
      <c r="H25" s="22" t="s">
        <v>379</v>
      </c>
    </row>
    <row r="26" spans="1:11" x14ac:dyDescent="0.5">
      <c r="B26">
        <v>12</v>
      </c>
      <c r="C26" t="s">
        <v>399</v>
      </c>
      <c r="D26" s="224" t="s">
        <v>400</v>
      </c>
      <c r="E26" s="164" t="s">
        <v>401</v>
      </c>
      <c r="F26" s="80" t="s">
        <v>402</v>
      </c>
      <c r="G26" s="115"/>
      <c r="H26" s="22" t="s">
        <v>403</v>
      </c>
      <c r="I26" t="s">
        <v>404</v>
      </c>
    </row>
    <row r="27" spans="1:11" x14ac:dyDescent="0.5">
      <c r="B27">
        <v>13</v>
      </c>
      <c r="C27" t="s">
        <v>405</v>
      </c>
      <c r="D27" t="s">
        <v>336</v>
      </c>
      <c r="E27" s="164" t="s">
        <v>406</v>
      </c>
      <c r="F27" s="99" t="s">
        <v>407</v>
      </c>
      <c r="H27" s="22" t="s">
        <v>376</v>
      </c>
    </row>
    <row r="28" spans="1:11" x14ac:dyDescent="0.5">
      <c r="E28" s="164"/>
      <c r="F28" s="98"/>
    </row>
    <row r="29" spans="1:11" x14ac:dyDescent="0.5">
      <c r="A29" s="68" t="s">
        <v>319</v>
      </c>
    </row>
    <row r="30" spans="1:11" ht="14.7" thickBot="1" x14ac:dyDescent="0.55000000000000004">
      <c r="A30" s="68" t="s">
        <v>320</v>
      </c>
    </row>
    <row r="31" spans="1:11" x14ac:dyDescent="0.5">
      <c r="A31" s="3" t="s">
        <v>321</v>
      </c>
      <c r="B31" s="4"/>
      <c r="C31" s="4">
        <v>2016</v>
      </c>
      <c r="D31" s="29">
        <v>2020</v>
      </c>
      <c r="E31" s="4">
        <v>2023</v>
      </c>
      <c r="F31" s="29">
        <v>2025</v>
      </c>
      <c r="G31" s="29">
        <v>2030</v>
      </c>
      <c r="H31" s="4">
        <v>2033</v>
      </c>
      <c r="I31" s="4" t="s">
        <v>59</v>
      </c>
      <c r="J31" s="16" t="s">
        <v>322</v>
      </c>
      <c r="K31" s="4" t="s">
        <v>323</v>
      </c>
    </row>
    <row r="32" spans="1:11" x14ac:dyDescent="0.5">
      <c r="B32" s="3" t="s">
        <v>267</v>
      </c>
      <c r="C32" s="32">
        <f>C4</f>
        <v>420</v>
      </c>
      <c r="D32" s="54">
        <f>$C32*(1-$J32)^(D$31-$C$31)</f>
        <v>377.52900873114839</v>
      </c>
      <c r="E32" s="39"/>
      <c r="F32" s="54">
        <f>$C32*(1-$J32)^(F$31-$C$31)</f>
        <v>330.42783469156592</v>
      </c>
      <c r="G32" s="58">
        <f>225*Financials!D5</f>
        <v>289.20308483290489</v>
      </c>
      <c r="H32" s="38"/>
      <c r="I32" t="s">
        <v>268</v>
      </c>
      <c r="J32" s="168">
        <f>1-(G32/C32)^(1/(G$31-C$31))</f>
        <v>2.6299799717211414E-2</v>
      </c>
      <c r="K32" s="44"/>
    </row>
    <row r="33" spans="1:11" x14ac:dyDescent="0.5">
      <c r="B33" s="3" t="s">
        <v>269</v>
      </c>
      <c r="C33" s="32">
        <f>C5</f>
        <v>0</v>
      </c>
      <c r="D33" s="54">
        <f>$C33*(1-$J33)^(D$31-$C$31)</f>
        <v>0</v>
      </c>
      <c r="E33" s="39"/>
      <c r="F33" s="54">
        <f>$C33*(1-$J33)^(F$31-$C$31)</f>
        <v>0</v>
      </c>
      <c r="G33" s="58">
        <f>50*Financials!D5</f>
        <v>64.267352185089976</v>
      </c>
      <c r="H33" s="38"/>
      <c r="I33" t="s">
        <v>61</v>
      </c>
      <c r="J33" s="168"/>
      <c r="K33" s="44"/>
    </row>
    <row r="34" spans="1:11" x14ac:dyDescent="0.5">
      <c r="B34" s="3" t="s">
        <v>259</v>
      </c>
      <c r="C34">
        <f>C6</f>
        <v>2000</v>
      </c>
      <c r="D34" s="54">
        <f>$C34*(1-$J34)^(D$31-$C$31)</f>
        <v>2800.8018493267095</v>
      </c>
      <c r="E34" s="39"/>
      <c r="F34" s="54">
        <f>$C34*(1-$J34)^(F$31-$C$31)</f>
        <v>4266.7566160520128</v>
      </c>
      <c r="G34" s="58">
        <v>6500</v>
      </c>
      <c r="H34" s="40"/>
      <c r="I34" t="s">
        <v>105</v>
      </c>
      <c r="J34" s="168">
        <f>1-(G34/C34)^(1/(G$31-C$31))</f>
        <v>-8.7835174134699878E-2</v>
      </c>
      <c r="K34" s="44"/>
    </row>
    <row r="35" spans="1:11" x14ac:dyDescent="0.5">
      <c r="B35" s="3" t="s">
        <v>260</v>
      </c>
      <c r="C35">
        <f>C7</f>
        <v>12</v>
      </c>
      <c r="D35" s="54">
        <f>$C35*(1-$J35)^(D$31-$C$31)</f>
        <v>13.885662430941007</v>
      </c>
      <c r="E35" s="39"/>
      <c r="F35" s="54">
        <f>$C35*(1-$J35)^(F$31-$C$31)</f>
        <v>16.66473067945654</v>
      </c>
      <c r="G35" s="58">
        <v>20</v>
      </c>
      <c r="H35" s="40"/>
      <c r="I35" t="s">
        <v>64</v>
      </c>
      <c r="J35" s="168">
        <f>1-(G35/C35)^(1/(G$31-C$31))</f>
        <v>-3.716138563040583E-2</v>
      </c>
      <c r="K35" s="44"/>
    </row>
    <row r="36" spans="1:11" ht="14.7" thickBot="1" x14ac:dyDescent="0.55000000000000004">
      <c r="B36" s="5" t="s">
        <v>65</v>
      </c>
      <c r="C36" s="6">
        <f>C8</f>
        <v>92</v>
      </c>
      <c r="D36" s="205"/>
      <c r="E36" s="211"/>
      <c r="F36" s="205"/>
      <c r="G36" s="59">
        <v>89</v>
      </c>
      <c r="H36" s="42"/>
      <c r="I36" s="6" t="s">
        <v>66</v>
      </c>
      <c r="J36" s="169">
        <f>1-(G36/C36)^(1/(G$31-C$31))</f>
        <v>2.3652132730790365E-3</v>
      </c>
      <c r="K36" s="166"/>
    </row>
    <row r="37" spans="1:11" ht="14.7" thickBot="1" x14ac:dyDescent="0.55000000000000004">
      <c r="J37" s="168"/>
      <c r="K37" s="44"/>
    </row>
    <row r="38" spans="1:11" x14ac:dyDescent="0.5">
      <c r="A38" s="3" t="s">
        <v>325</v>
      </c>
      <c r="B38" s="4"/>
      <c r="C38" s="4">
        <v>2016</v>
      </c>
      <c r="D38" s="29">
        <v>2020</v>
      </c>
      <c r="E38" s="4">
        <v>2023</v>
      </c>
      <c r="F38" s="29">
        <v>2025</v>
      </c>
      <c r="G38" s="29">
        <v>2030</v>
      </c>
      <c r="H38" s="4">
        <v>2033</v>
      </c>
      <c r="I38" s="4" t="s">
        <v>59</v>
      </c>
      <c r="J38" s="170"/>
      <c r="K38" s="167"/>
    </row>
    <row r="39" spans="1:11" x14ac:dyDescent="0.5">
      <c r="B39" s="3" t="s">
        <v>267</v>
      </c>
      <c r="C39" s="32">
        <f>C4</f>
        <v>420</v>
      </c>
      <c r="D39" s="54">
        <f>$C39*(1-$J39)^(D$31-$C$31)</f>
        <v>445.04685342245801</v>
      </c>
      <c r="E39" s="32">
        <f>350*Financials!D7</f>
        <v>464.80743691899067</v>
      </c>
      <c r="F39" s="54">
        <f>$E39*(1-$K39)^(F$31-$E$31)</f>
        <v>442.92072084066979</v>
      </c>
      <c r="G39" s="54">
        <f>$E39*(1-$K39)^(G$31-$E$31)</f>
        <v>392.60725690569524</v>
      </c>
      <c r="H39" s="32">
        <f>275*Financials!D7</f>
        <v>365.20584329349265</v>
      </c>
      <c r="I39" t="s">
        <v>268</v>
      </c>
      <c r="J39" s="168">
        <f>1-(E39/C39)^(1/(E$31-C$31))</f>
        <v>-1.4586574225488702E-2</v>
      </c>
      <c r="K39" s="44">
        <f>1-(H39/E39)^(1/(H$31-E$31))</f>
        <v>2.3827733597007295E-2</v>
      </c>
    </row>
    <row r="40" spans="1:11" x14ac:dyDescent="0.5">
      <c r="B40" s="3" t="s">
        <v>269</v>
      </c>
      <c r="C40" s="32">
        <f>C5</f>
        <v>0</v>
      </c>
      <c r="D40" s="63"/>
      <c r="E40" s="39"/>
      <c r="F40" s="63"/>
      <c r="G40" s="63"/>
      <c r="H40" s="39"/>
      <c r="I40" t="s">
        <v>61</v>
      </c>
      <c r="J40" s="168"/>
      <c r="K40" s="44"/>
    </row>
    <row r="41" spans="1:11" x14ac:dyDescent="0.5">
      <c r="B41" s="3" t="s">
        <v>259</v>
      </c>
      <c r="C41">
        <f>C6</f>
        <v>2000</v>
      </c>
      <c r="D41" s="63"/>
      <c r="E41" s="39"/>
      <c r="F41" s="63"/>
      <c r="G41" s="63"/>
      <c r="H41" s="40"/>
      <c r="I41" t="s">
        <v>105</v>
      </c>
      <c r="J41" s="168"/>
      <c r="K41" s="44"/>
    </row>
    <row r="42" spans="1:11" x14ac:dyDescent="0.5">
      <c r="B42" s="3" t="s">
        <v>260</v>
      </c>
      <c r="C42">
        <f>C7</f>
        <v>12</v>
      </c>
      <c r="D42" s="54">
        <f>$C42*(1-$J42)^(D$31-$C$31)</f>
        <v>13.631962927172319</v>
      </c>
      <c r="E42" s="32">
        <v>15</v>
      </c>
      <c r="F42" s="54">
        <f>$E42*(1-$K42)^(F$31-$E$31)</f>
        <v>15.888357615732186</v>
      </c>
      <c r="G42" s="54">
        <f>$E42*(1-$K42)^(G$31-$E$31)</f>
        <v>18.346295092848042</v>
      </c>
      <c r="H42">
        <v>20</v>
      </c>
      <c r="I42" t="s">
        <v>64</v>
      </c>
      <c r="J42" s="168">
        <f>1-(E42/C42)^(1/(E$31-C$31))</f>
        <v>-3.2391184710001797E-2</v>
      </c>
      <c r="K42" s="44">
        <f>1-(H42/E42)^(1/(H$31-E$31))</f>
        <v>-2.9186008964760646E-2</v>
      </c>
    </row>
    <row r="43" spans="1:11" ht="14.7" thickBot="1" x14ac:dyDescent="0.55000000000000004">
      <c r="B43" s="5" t="s">
        <v>65</v>
      </c>
      <c r="C43" s="6">
        <f>C8</f>
        <v>92</v>
      </c>
      <c r="D43" s="205"/>
      <c r="E43" s="33">
        <v>90</v>
      </c>
      <c r="F43" s="55">
        <f>$E43*(1-$K43)^(F$31-$E$31)</f>
        <v>90</v>
      </c>
      <c r="G43" s="55">
        <f>$E43*(1-$K43)^(G$31-$E$31)</f>
        <v>90</v>
      </c>
      <c r="H43" s="6">
        <v>90</v>
      </c>
      <c r="I43" s="6" t="s">
        <v>66</v>
      </c>
      <c r="J43" s="169">
        <f>1-(E43/C43)^(1/(E$31-C$31))</f>
        <v>3.1349196624106401E-3</v>
      </c>
      <c r="K43" s="166">
        <f>1-(H43/E43)^(1/(H$31-E$31))</f>
        <v>0</v>
      </c>
    </row>
    <row r="44" spans="1:11" ht="14.7" thickBot="1" x14ac:dyDescent="0.55000000000000004">
      <c r="J44" s="168"/>
      <c r="K44" s="44"/>
    </row>
    <row r="45" spans="1:11" x14ac:dyDescent="0.5">
      <c r="A45" s="3" t="s">
        <v>326</v>
      </c>
      <c r="B45" s="4"/>
      <c r="C45" s="4">
        <v>2016</v>
      </c>
      <c r="D45" s="29">
        <v>2020</v>
      </c>
      <c r="E45" s="4">
        <v>2023</v>
      </c>
      <c r="F45" s="29">
        <v>2025</v>
      </c>
      <c r="G45" s="29">
        <v>2030</v>
      </c>
      <c r="H45" s="4">
        <v>2033</v>
      </c>
      <c r="I45" s="4" t="s">
        <v>59</v>
      </c>
      <c r="J45" s="170"/>
      <c r="K45" s="167"/>
    </row>
    <row r="46" spans="1:11" x14ac:dyDescent="0.5">
      <c r="B46" s="3" t="s">
        <v>267</v>
      </c>
      <c r="C46" s="32">
        <f>C4</f>
        <v>420</v>
      </c>
      <c r="D46" s="58">
        <f>180*Financials!D8</f>
        <v>199.77802441731407</v>
      </c>
      <c r="E46" s="39"/>
      <c r="F46" s="58">
        <f>145*Financials!D8</f>
        <v>160.9322974472808</v>
      </c>
      <c r="G46" s="65">
        <f>$D46*(1-$K46)^(G$31-$D$31)</f>
        <v>129.63990627697618</v>
      </c>
      <c r="H46" s="38"/>
      <c r="I46" t="s">
        <v>268</v>
      </c>
      <c r="J46" s="168">
        <f>1-(G46/C46)^(1/(G$31-C$31))</f>
        <v>8.0535516106546967E-2</v>
      </c>
      <c r="K46" s="44">
        <f>1-(F46/D46)^(1/(F$31-D$31))</f>
        <v>4.2322907181576386E-2</v>
      </c>
    </row>
    <row r="47" spans="1:11" x14ac:dyDescent="0.5">
      <c r="B47" s="3" t="s">
        <v>269</v>
      </c>
      <c r="C47" s="32">
        <f>C5</f>
        <v>0</v>
      </c>
      <c r="D47" s="63"/>
      <c r="E47" s="39"/>
      <c r="F47" s="63"/>
      <c r="G47" s="63"/>
      <c r="H47" s="38"/>
      <c r="I47" t="s">
        <v>61</v>
      </c>
      <c r="J47" s="168" t="e">
        <f>1-(G47/C47)^(1/(G$31-C$31))</f>
        <v>#DIV/0!</v>
      </c>
      <c r="K47" s="44"/>
    </row>
    <row r="48" spans="1:11" x14ac:dyDescent="0.5">
      <c r="B48" s="3" t="s">
        <v>259</v>
      </c>
      <c r="C48">
        <f>C6</f>
        <v>2000</v>
      </c>
      <c r="D48" s="58">
        <v>6500</v>
      </c>
      <c r="E48" s="39"/>
      <c r="F48" s="54">
        <f>$D48*(1-$K48)^(F$31-$D$31)</f>
        <v>6500</v>
      </c>
      <c r="G48" s="58">
        <v>6500</v>
      </c>
      <c r="H48" s="40"/>
      <c r="I48" t="s">
        <v>105</v>
      </c>
      <c r="J48" s="168">
        <f>1-(G48/C48)^(1/(G$31-C$31))</f>
        <v>-8.7835174134699878E-2</v>
      </c>
      <c r="K48" s="44">
        <f>1-(G48/D48)^(1/(G$31-D$31))</f>
        <v>0</v>
      </c>
    </row>
    <row r="49" spans="1:11" x14ac:dyDescent="0.5">
      <c r="B49" s="3" t="s">
        <v>260</v>
      </c>
      <c r="C49">
        <f>C7</f>
        <v>12</v>
      </c>
      <c r="D49" s="58">
        <v>20</v>
      </c>
      <c r="E49" s="39"/>
      <c r="F49" s="54">
        <f>$D49*(1-$K49)^(F$31-$D$31)</f>
        <v>20</v>
      </c>
      <c r="G49" s="58">
        <v>20</v>
      </c>
      <c r="H49" s="40"/>
      <c r="I49" t="s">
        <v>64</v>
      </c>
      <c r="J49" s="168">
        <f>1-(G49/C49)^(1/(G$31-C$31))</f>
        <v>-3.716138563040583E-2</v>
      </c>
      <c r="K49" s="44">
        <f>1-(G49/D49)^(1/(G$31-D$31))</f>
        <v>0</v>
      </c>
    </row>
    <row r="50" spans="1:11" ht="14.7" thickBot="1" x14ac:dyDescent="0.55000000000000004">
      <c r="B50" s="5" t="s">
        <v>65</v>
      </c>
      <c r="C50" s="34">
        <f>C8</f>
        <v>92</v>
      </c>
      <c r="D50" s="64">
        <v>87.5</v>
      </c>
      <c r="E50" s="43"/>
      <c r="F50" s="61">
        <f>$D50*(1-$K50)^(F$31-$D$31)</f>
        <v>87.5</v>
      </c>
      <c r="G50" s="64">
        <v>87.5</v>
      </c>
      <c r="H50" s="43"/>
      <c r="I50" s="6" t="s">
        <v>66</v>
      </c>
      <c r="J50" s="169">
        <f>1-(G50/C50)^(1/(G$31-C$31))</f>
        <v>3.575719241632358E-3</v>
      </c>
      <c r="K50" s="166">
        <f>1-(G50/D50)^(1/(G$31-D$31))</f>
        <v>0</v>
      </c>
    </row>
    <row r="51" spans="1:11" ht="14.7" thickBot="1" x14ac:dyDescent="0.55000000000000004">
      <c r="B51" s="3"/>
      <c r="C51" s="32"/>
      <c r="D51" s="32"/>
      <c r="E51" s="32"/>
      <c r="F51" s="37"/>
      <c r="G51" s="37"/>
    </row>
    <row r="52" spans="1:11" x14ac:dyDescent="0.5">
      <c r="A52" s="3" t="s">
        <v>327</v>
      </c>
      <c r="B52" s="4"/>
      <c r="C52" s="4">
        <v>2016</v>
      </c>
      <c r="D52" s="29">
        <v>2020</v>
      </c>
      <c r="E52" s="4">
        <v>2023</v>
      </c>
      <c r="F52" s="29">
        <v>2025</v>
      </c>
      <c r="G52" s="29">
        <v>2030</v>
      </c>
      <c r="H52" s="4">
        <v>2050</v>
      </c>
      <c r="I52" s="4" t="s">
        <v>59</v>
      </c>
      <c r="J52" s="170"/>
      <c r="K52" s="167"/>
    </row>
    <row r="53" spans="1:11" x14ac:dyDescent="0.5">
      <c r="B53" s="3" t="s">
        <v>267</v>
      </c>
      <c r="C53" s="32">
        <f>C4</f>
        <v>420</v>
      </c>
      <c r="D53" s="54">
        <f>$C53*(1-$J53)^(D$31-$C$31)</f>
        <v>457.19447106050404</v>
      </c>
      <c r="E53" s="32">
        <f>439*Financials!D8</f>
        <v>487.23640399556047</v>
      </c>
      <c r="F53" s="54">
        <f>$E53*(1-$K53)^(F$52-$E$52)</f>
        <v>473.09830885362516</v>
      </c>
      <c r="G53" s="54">
        <f>$E53*(1-$K53)^(G$52-$E$52)</f>
        <v>439.52194251350539</v>
      </c>
      <c r="H53" s="32">
        <f>295*Financials!D8</f>
        <v>327.41398446170922</v>
      </c>
      <c r="I53" t="s">
        <v>268</v>
      </c>
      <c r="J53" s="168">
        <f>1-(E53/C53)^(1/(E$52-C$52))</f>
        <v>-2.1440138387206487E-2</v>
      </c>
      <c r="K53" s="44">
        <f t="shared" ref="K53:K56" si="1">1-(H53/E53)^(1/(H$52-E$52))</f>
        <v>1.4615258150648458E-2</v>
      </c>
    </row>
    <row r="54" spans="1:11" x14ac:dyDescent="0.5">
      <c r="B54" s="3" t="s">
        <v>269</v>
      </c>
      <c r="C54" s="32">
        <f>C5</f>
        <v>0</v>
      </c>
      <c r="D54" s="63"/>
      <c r="E54" s="39"/>
      <c r="F54" s="63"/>
      <c r="G54" s="63"/>
      <c r="H54" s="39"/>
      <c r="I54" t="s">
        <v>61</v>
      </c>
      <c r="J54" s="168"/>
      <c r="K54" s="44"/>
    </row>
    <row r="55" spans="1:11" x14ac:dyDescent="0.5">
      <c r="B55" s="3" t="s">
        <v>259</v>
      </c>
      <c r="C55">
        <f>C6</f>
        <v>2000</v>
      </c>
      <c r="D55" s="54">
        <f>$C55*(1-$J55)^(D$31-$C$31)</f>
        <v>4091.9095100889917</v>
      </c>
      <c r="E55" s="32">
        <v>7000</v>
      </c>
      <c r="F55" s="54">
        <f t="shared" ref="F55:G57" si="2">$E55*(1-$K55)^(F$52-$E$52)</f>
        <v>7285.1338713304003</v>
      </c>
      <c r="G55" s="54">
        <f t="shared" si="2"/>
        <v>8049.8220257098674</v>
      </c>
      <c r="H55">
        <v>12000</v>
      </c>
      <c r="I55" t="s">
        <v>105</v>
      </c>
      <c r="J55" s="168">
        <f t="shared" ref="J55:J56" si="3">1-(E55/C55)^(1/(E$52-C$52))</f>
        <v>-0.19598024562548089</v>
      </c>
      <c r="K55" s="44">
        <f t="shared" si="1"/>
        <v>-2.0163423275926462E-2</v>
      </c>
    </row>
    <row r="56" spans="1:11" x14ac:dyDescent="0.5">
      <c r="B56" s="3" t="s">
        <v>260</v>
      </c>
      <c r="C56">
        <f>C7</f>
        <v>12</v>
      </c>
      <c r="D56" s="54">
        <f>$C56*(1-$J56)^(D$31-$C$31)</f>
        <v>14.642657957273107</v>
      </c>
      <c r="E56" s="37">
        <v>17</v>
      </c>
      <c r="F56" s="54">
        <f t="shared" si="2"/>
        <v>17.439837203603965</v>
      </c>
      <c r="G56" s="54">
        <f t="shared" si="2"/>
        <v>18.589863017514233</v>
      </c>
      <c r="H56">
        <v>24</v>
      </c>
      <c r="I56" t="s">
        <v>64</v>
      </c>
      <c r="J56" s="168">
        <f t="shared" si="3"/>
        <v>-5.1016823792615185E-2</v>
      </c>
      <c r="K56" s="44">
        <f t="shared" si="1"/>
        <v>-1.2853778530043325E-2</v>
      </c>
    </row>
    <row r="57" spans="1:11" ht="14.7" thickBot="1" x14ac:dyDescent="0.55000000000000004">
      <c r="B57" s="5" t="s">
        <v>65</v>
      </c>
      <c r="C57" s="34">
        <f>C8</f>
        <v>92</v>
      </c>
      <c r="D57" s="205"/>
      <c r="E57" s="34">
        <v>87</v>
      </c>
      <c r="F57" s="55">
        <f t="shared" si="2"/>
        <v>87.218751218274875</v>
      </c>
      <c r="G57" s="55">
        <f t="shared" si="2"/>
        <v>87.768038645537743</v>
      </c>
      <c r="H57" s="34">
        <v>90</v>
      </c>
      <c r="I57" s="6" t="s">
        <v>66</v>
      </c>
      <c r="J57" s="169">
        <f>1-(E57/C57)^(1/(E$52-C$52))</f>
        <v>7.951143720017817E-3</v>
      </c>
      <c r="K57" s="166">
        <f>1-(H57/E57)^(1/(H$52-E$52))</f>
        <v>-1.2564016370888442E-3</v>
      </c>
    </row>
    <row r="58" spans="1:11" ht="14.7" thickBot="1" x14ac:dyDescent="0.55000000000000004">
      <c r="J58" s="168"/>
      <c r="K58" s="44"/>
    </row>
    <row r="59" spans="1:11" x14ac:dyDescent="0.5">
      <c r="A59" s="3" t="s">
        <v>345</v>
      </c>
      <c r="B59" s="4"/>
      <c r="C59" s="4">
        <v>2016</v>
      </c>
      <c r="D59" s="4">
        <v>2017</v>
      </c>
      <c r="E59" s="29">
        <v>2020</v>
      </c>
      <c r="F59" s="29">
        <v>2025</v>
      </c>
      <c r="G59" s="29">
        <v>2030</v>
      </c>
      <c r="H59" s="4">
        <v>2050</v>
      </c>
      <c r="I59" s="4" t="s">
        <v>59</v>
      </c>
      <c r="J59" s="170"/>
      <c r="K59" s="167"/>
    </row>
    <row r="60" spans="1:11" x14ac:dyDescent="0.5">
      <c r="B60" s="3" t="s">
        <v>267</v>
      </c>
      <c r="C60" s="92">
        <f>C4</f>
        <v>420</v>
      </c>
      <c r="D60" s="92">
        <v>500</v>
      </c>
      <c r="E60" s="102">
        <v>300</v>
      </c>
      <c r="F60" s="65">
        <f>$E60*(1-$K60)^(F$52-$E$52)</f>
        <v>213.41359826940374</v>
      </c>
      <c r="G60" s="65">
        <f>$E60*(1-$K60)^(G$52-$E$52)</f>
        <v>91.090727852588898</v>
      </c>
      <c r="H60" s="172"/>
      <c r="I60" t="s">
        <v>268</v>
      </c>
      <c r="J60" s="168">
        <f>1-(D60/C60)^(1/(D$52-C$52))</f>
        <v>-4.455227307203824E-2</v>
      </c>
      <c r="K60" s="44">
        <f>1-(E60/D60)^(1/(E$52-D$52))</f>
        <v>0.15656733469825079</v>
      </c>
    </row>
    <row r="61" spans="1:11" x14ac:dyDescent="0.5">
      <c r="B61" s="3" t="s">
        <v>269</v>
      </c>
      <c r="C61" s="92">
        <f>C5</f>
        <v>0</v>
      </c>
      <c r="D61" s="172"/>
      <c r="E61" s="94"/>
      <c r="F61" s="94"/>
      <c r="G61" s="94"/>
      <c r="H61" s="95"/>
      <c r="I61" t="s">
        <v>61</v>
      </c>
      <c r="J61" s="168"/>
      <c r="K61" s="44"/>
    </row>
    <row r="62" spans="1:11" x14ac:dyDescent="0.5">
      <c r="B62" s="3" t="s">
        <v>259</v>
      </c>
      <c r="C62" s="92">
        <f>C6</f>
        <v>2000</v>
      </c>
      <c r="D62" s="95"/>
      <c r="E62" s="63"/>
      <c r="F62" s="63"/>
      <c r="G62" s="63"/>
      <c r="H62" s="40"/>
      <c r="I62" t="s">
        <v>105</v>
      </c>
      <c r="J62" s="168"/>
      <c r="K62" s="44"/>
    </row>
    <row r="63" spans="1:11" x14ac:dyDescent="0.5">
      <c r="B63" s="3" t="s">
        <v>260</v>
      </c>
      <c r="C63" s="92">
        <f>C7</f>
        <v>12</v>
      </c>
      <c r="D63" s="95"/>
      <c r="E63" s="63"/>
      <c r="F63" s="63"/>
      <c r="G63" s="63"/>
      <c r="H63" s="39"/>
      <c r="I63" t="s">
        <v>64</v>
      </c>
      <c r="J63" s="168"/>
      <c r="K63" s="44"/>
    </row>
    <row r="64" spans="1:11" ht="14.7" thickBot="1" x14ac:dyDescent="0.55000000000000004">
      <c r="B64" s="5" t="s">
        <v>65</v>
      </c>
      <c r="C64" s="93">
        <f>C8</f>
        <v>92</v>
      </c>
      <c r="D64" s="173"/>
      <c r="E64" s="67"/>
      <c r="F64" s="67"/>
      <c r="G64" s="67"/>
      <c r="H64" s="41"/>
      <c r="I64" s="6" t="s">
        <v>66</v>
      </c>
      <c r="J64" s="169"/>
      <c r="K64" s="166"/>
    </row>
    <row r="65" spans="1:9" ht="14.7" thickBot="1" x14ac:dyDescent="0.55000000000000004"/>
    <row r="66" spans="1:9" x14ac:dyDescent="0.5">
      <c r="A66" s="3" t="s">
        <v>367</v>
      </c>
      <c r="B66" s="4"/>
      <c r="C66" s="4">
        <v>2016</v>
      </c>
      <c r="D66" s="29">
        <v>2025</v>
      </c>
      <c r="E66" s="29">
        <v>2030</v>
      </c>
      <c r="F66" s="4" t="s">
        <v>59</v>
      </c>
      <c r="G66" s="16" t="s">
        <v>322</v>
      </c>
      <c r="H66" s="4" t="s">
        <v>323</v>
      </c>
    </row>
    <row r="67" spans="1:9" x14ac:dyDescent="0.5">
      <c r="B67" s="3" t="s">
        <v>267</v>
      </c>
      <c r="C67" s="92">
        <f>C4</f>
        <v>420</v>
      </c>
      <c r="D67" s="92">
        <v>150</v>
      </c>
      <c r="E67" s="189">
        <f>$C$67*(1-$G$67)^(E66-C66)</f>
        <v>84.658414475327831</v>
      </c>
      <c r="F67" t="s">
        <v>268</v>
      </c>
      <c r="G67" s="168">
        <f>1-(D67/C67)^(1/($D$66-$C$66))</f>
        <v>0.10810080017182677</v>
      </c>
      <c r="H67" s="44"/>
    </row>
    <row r="68" spans="1:9" x14ac:dyDescent="0.5">
      <c r="B68" s="3" t="s">
        <v>269</v>
      </c>
      <c r="C68" s="92">
        <f>C5</f>
        <v>0</v>
      </c>
      <c r="D68" s="95"/>
      <c r="E68" s="95"/>
      <c r="F68" t="s">
        <v>61</v>
      </c>
      <c r="G68" s="168"/>
      <c r="H68" s="44"/>
    </row>
    <row r="69" spans="1:9" x14ac:dyDescent="0.5">
      <c r="B69" s="3" t="s">
        <v>259</v>
      </c>
      <c r="C69" s="92">
        <f>C6</f>
        <v>2000</v>
      </c>
      <c r="D69" s="92">
        <v>4000</v>
      </c>
      <c r="E69" s="189">
        <f>C69*(1-G69)^(E66-C66)</f>
        <v>5878.9379691023942</v>
      </c>
      <c r="F69" t="s">
        <v>105</v>
      </c>
      <c r="G69" s="168">
        <f t="shared" ref="G69" si="4">1-(D69/C69)^(1/($D$66-$C$66))</f>
        <v>-8.0059738892306109E-2</v>
      </c>
      <c r="H69" s="44"/>
    </row>
    <row r="70" spans="1:9" x14ac:dyDescent="0.5">
      <c r="B70" s="3" t="s">
        <v>260</v>
      </c>
      <c r="C70" s="92">
        <f>C7</f>
        <v>12</v>
      </c>
      <c r="D70" s="95"/>
      <c r="E70" s="95"/>
      <c r="F70" t="s">
        <v>64</v>
      </c>
      <c r="G70" s="168"/>
      <c r="H70" s="44"/>
    </row>
    <row r="71" spans="1:9" ht="14.7" thickBot="1" x14ac:dyDescent="0.55000000000000004">
      <c r="B71" s="5" t="s">
        <v>65</v>
      </c>
      <c r="C71" s="93">
        <f>C8</f>
        <v>92</v>
      </c>
      <c r="D71" s="173"/>
      <c r="E71" s="173"/>
      <c r="F71" s="187" t="s">
        <v>66</v>
      </c>
      <c r="G71" s="166"/>
      <c r="H71" s="166"/>
    </row>
    <row r="72" spans="1:9" ht="14.7" thickBot="1" x14ac:dyDescent="0.55000000000000004"/>
    <row r="73" spans="1:9" x14ac:dyDescent="0.5">
      <c r="A73" s="3" t="s">
        <v>368</v>
      </c>
      <c r="B73" s="4"/>
      <c r="C73" s="4">
        <v>2016</v>
      </c>
      <c r="D73" s="29">
        <v>2025</v>
      </c>
      <c r="E73" s="29">
        <v>2030</v>
      </c>
      <c r="F73" s="4" t="s">
        <v>59</v>
      </c>
      <c r="G73" s="16" t="s">
        <v>322</v>
      </c>
      <c r="H73" s="4" t="s">
        <v>323</v>
      </c>
    </row>
    <row r="74" spans="1:9" x14ac:dyDescent="0.5">
      <c r="B74" s="3" t="s">
        <v>267</v>
      </c>
      <c r="C74" s="92">
        <f>C4</f>
        <v>420</v>
      </c>
      <c r="D74" s="92">
        <v>280</v>
      </c>
      <c r="E74" s="189">
        <f>$C$74*(1-$G$74)^(E73-C73)</f>
        <v>223.52677594770202</v>
      </c>
      <c r="F74" t="s">
        <v>268</v>
      </c>
      <c r="G74" s="168">
        <f>1-(D74/C74)^(1/($D$73-$C$73))</f>
        <v>4.4051921577024866E-2</v>
      </c>
      <c r="H74" s="44"/>
    </row>
    <row r="75" spans="1:9" x14ac:dyDescent="0.5">
      <c r="B75" s="3" t="s">
        <v>269</v>
      </c>
      <c r="C75" s="92">
        <f>C5</f>
        <v>0</v>
      </c>
      <c r="D75" s="95"/>
      <c r="E75" s="95"/>
      <c r="F75" t="s">
        <v>61</v>
      </c>
      <c r="G75" s="168"/>
      <c r="H75" s="44"/>
    </row>
    <row r="76" spans="1:9" x14ac:dyDescent="0.5">
      <c r="B76" s="3" t="s">
        <v>259</v>
      </c>
      <c r="C76" s="92">
        <f t="shared" ref="C76:C78" si="5">C6</f>
        <v>2000</v>
      </c>
      <c r="D76" s="92">
        <v>1500</v>
      </c>
      <c r="E76" s="92">
        <f>D76</f>
        <v>1500</v>
      </c>
      <c r="F76" t="s">
        <v>105</v>
      </c>
      <c r="G76" s="168" t="s">
        <v>47</v>
      </c>
      <c r="H76" s="44"/>
    </row>
    <row r="77" spans="1:9" x14ac:dyDescent="0.5">
      <c r="B77" s="3" t="s">
        <v>260</v>
      </c>
      <c r="C77" s="92">
        <f t="shared" si="5"/>
        <v>12</v>
      </c>
      <c r="D77" s="95"/>
      <c r="E77" s="95"/>
      <c r="F77" t="s">
        <v>64</v>
      </c>
      <c r="G77" s="168"/>
      <c r="H77" s="44"/>
    </row>
    <row r="78" spans="1:9" ht="14.7" thickBot="1" x14ac:dyDescent="0.55000000000000004">
      <c r="B78" s="5" t="s">
        <v>65</v>
      </c>
      <c r="C78" s="93">
        <f t="shared" si="5"/>
        <v>92</v>
      </c>
      <c r="D78" s="173"/>
      <c r="E78" s="173"/>
      <c r="F78" s="187" t="s">
        <v>66</v>
      </c>
      <c r="G78" s="166"/>
      <c r="H78" s="166"/>
    </row>
    <row r="79" spans="1:9" ht="14.7" thickBot="1" x14ac:dyDescent="0.55000000000000004"/>
    <row r="80" spans="1:9" x14ac:dyDescent="0.5">
      <c r="A80" s="3" t="s">
        <v>408</v>
      </c>
      <c r="B80" s="4"/>
      <c r="C80" s="4">
        <v>2016</v>
      </c>
      <c r="D80" s="4">
        <v>2023</v>
      </c>
      <c r="E80" s="29">
        <v>2025</v>
      </c>
      <c r="F80" s="29">
        <v>2030</v>
      </c>
      <c r="G80" s="4" t="s">
        <v>59</v>
      </c>
      <c r="H80" s="16" t="s">
        <v>322</v>
      </c>
      <c r="I80" s="4" t="s">
        <v>323</v>
      </c>
    </row>
    <row r="81" spans="1:9" x14ac:dyDescent="0.5">
      <c r="B81" s="3" t="s">
        <v>267</v>
      </c>
      <c r="C81" s="92">
        <f>C4</f>
        <v>420</v>
      </c>
      <c r="D81" s="92">
        <v>151</v>
      </c>
      <c r="E81" s="189">
        <f>$C$81*(1-$H$81)^(E80-C80)</f>
        <v>112.73064506520051</v>
      </c>
      <c r="F81" s="189">
        <f>$C$81*(1-$H$81)^(F80-C80)</f>
        <v>54.288095238095217</v>
      </c>
      <c r="G81" t="s">
        <v>268</v>
      </c>
      <c r="H81" s="168">
        <f>1-(D81/C81)^(1/($D$80-$C$80))</f>
        <v>0.13596263776055439</v>
      </c>
      <c r="I81" s="44"/>
    </row>
    <row r="82" spans="1:9" x14ac:dyDescent="0.5">
      <c r="B82" s="3" t="s">
        <v>269</v>
      </c>
      <c r="C82" s="92">
        <f>C5</f>
        <v>0</v>
      </c>
      <c r="D82" s="95"/>
      <c r="E82" s="95"/>
      <c r="F82" s="95"/>
      <c r="G82" t="s">
        <v>61</v>
      </c>
      <c r="H82" s="168"/>
      <c r="I82" s="44"/>
    </row>
    <row r="83" spans="1:9" x14ac:dyDescent="0.5">
      <c r="B83" s="3" t="s">
        <v>259</v>
      </c>
      <c r="C83" s="92">
        <f t="shared" ref="C83:C85" si="6">C6</f>
        <v>2000</v>
      </c>
      <c r="D83" s="95"/>
      <c r="E83" s="95"/>
      <c r="F83" s="95"/>
      <c r="G83" t="s">
        <v>105</v>
      </c>
      <c r="H83" s="168">
        <f>1-(D83/C83)^(1/($D$66-$C$66))</f>
        <v>1</v>
      </c>
      <c r="I83" s="44"/>
    </row>
    <row r="84" spans="1:9" x14ac:dyDescent="0.5">
      <c r="B84" s="3" t="s">
        <v>260</v>
      </c>
      <c r="C84" s="92">
        <f t="shared" si="6"/>
        <v>12</v>
      </c>
      <c r="D84" s="95"/>
      <c r="E84" s="95"/>
      <c r="F84" s="95"/>
      <c r="G84" t="s">
        <v>64</v>
      </c>
      <c r="H84" s="168"/>
      <c r="I84" s="44"/>
    </row>
    <row r="85" spans="1:9" ht="14.7" thickBot="1" x14ac:dyDescent="0.55000000000000004">
      <c r="B85" s="5" t="s">
        <v>65</v>
      </c>
      <c r="C85" s="93">
        <f t="shared" si="6"/>
        <v>92</v>
      </c>
      <c r="D85" s="173"/>
      <c r="E85" s="173"/>
      <c r="F85" s="173"/>
      <c r="G85" s="187" t="s">
        <v>66</v>
      </c>
      <c r="H85" s="166"/>
      <c r="I85" s="166"/>
    </row>
    <row r="86" spans="1:9" ht="14.7" thickBot="1" x14ac:dyDescent="0.55000000000000004"/>
    <row r="87" spans="1:9" x14ac:dyDescent="0.5">
      <c r="A87" s="3" t="s">
        <v>409</v>
      </c>
      <c r="B87" s="4"/>
      <c r="C87" s="4">
        <v>2016</v>
      </c>
      <c r="D87" s="4">
        <v>2020</v>
      </c>
      <c r="E87" s="29">
        <v>2025</v>
      </c>
      <c r="F87" s="29">
        <v>2030</v>
      </c>
      <c r="G87" s="4" t="s">
        <v>59</v>
      </c>
      <c r="H87" s="16" t="s">
        <v>322</v>
      </c>
      <c r="I87" s="4" t="s">
        <v>323</v>
      </c>
    </row>
    <row r="88" spans="1:9" x14ac:dyDescent="0.5">
      <c r="B88" s="3" t="s">
        <v>267</v>
      </c>
      <c r="C88" s="92">
        <f>C4</f>
        <v>420</v>
      </c>
      <c r="D88" s="95"/>
      <c r="E88" s="95"/>
      <c r="F88" s="95"/>
      <c r="G88" t="s">
        <v>268</v>
      </c>
      <c r="H88" s="168">
        <f>1-(D88/C88)^(1/($D$80-$C$80))</f>
        <v>1</v>
      </c>
      <c r="I88" s="44"/>
    </row>
    <row r="89" spans="1:9" x14ac:dyDescent="0.5">
      <c r="B89" s="3" t="s">
        <v>269</v>
      </c>
      <c r="C89" s="92">
        <f>C5</f>
        <v>0</v>
      </c>
      <c r="D89" s="95"/>
      <c r="E89" s="95"/>
      <c r="F89" s="95"/>
      <c r="G89" t="s">
        <v>61</v>
      </c>
      <c r="H89" s="168"/>
      <c r="I89" s="44"/>
    </row>
    <row r="90" spans="1:9" x14ac:dyDescent="0.5">
      <c r="B90" s="3" t="s">
        <v>259</v>
      </c>
      <c r="C90" s="92">
        <f t="shared" ref="C90:C92" si="7">C6</f>
        <v>2000</v>
      </c>
      <c r="D90" s="92">
        <v>1500</v>
      </c>
      <c r="E90" s="92">
        <f>D90</f>
        <v>1500</v>
      </c>
      <c r="F90" s="92">
        <f>E90</f>
        <v>1500</v>
      </c>
      <c r="G90" t="s">
        <v>105</v>
      </c>
      <c r="H90" s="168">
        <f>1-(D90/C90)^(1/($D$66-$C$66))</f>
        <v>3.1459204547276909E-2</v>
      </c>
      <c r="I90" s="44"/>
    </row>
    <row r="91" spans="1:9" x14ac:dyDescent="0.5">
      <c r="B91" s="3" t="s">
        <v>260</v>
      </c>
      <c r="C91" s="92">
        <f t="shared" si="7"/>
        <v>12</v>
      </c>
      <c r="D91" s="188" t="s">
        <v>410</v>
      </c>
      <c r="E91" s="188" t="str">
        <f>D91</f>
        <v>&gt;10</v>
      </c>
      <c r="F91" s="188" t="str">
        <f>E91</f>
        <v>&gt;10</v>
      </c>
      <c r="G91" t="s">
        <v>64</v>
      </c>
      <c r="H91" s="168"/>
      <c r="I91" s="44"/>
    </row>
    <row r="92" spans="1:9" ht="14.7" thickBot="1" x14ac:dyDescent="0.55000000000000004">
      <c r="B92" s="5" t="s">
        <v>65</v>
      </c>
      <c r="C92" s="93">
        <f t="shared" si="7"/>
        <v>92</v>
      </c>
      <c r="D92" s="173"/>
      <c r="E92" s="173"/>
      <c r="F92" s="173"/>
      <c r="G92" s="187" t="s">
        <v>66</v>
      </c>
      <c r="H92" s="166"/>
      <c r="I92" s="166"/>
    </row>
    <row r="93" spans="1:9" ht="14.7" thickBot="1" x14ac:dyDescent="0.55000000000000004"/>
    <row r="94" spans="1:9" x14ac:dyDescent="0.5">
      <c r="A94" s="3" t="s">
        <v>411</v>
      </c>
      <c r="B94" s="4"/>
      <c r="C94" s="4">
        <v>2016</v>
      </c>
      <c r="D94" s="4">
        <v>2024</v>
      </c>
      <c r="E94" s="29">
        <v>2025</v>
      </c>
      <c r="F94" s="29">
        <v>2030</v>
      </c>
      <c r="G94" s="4" t="s">
        <v>59</v>
      </c>
      <c r="H94" s="16" t="s">
        <v>322</v>
      </c>
      <c r="I94" s="4" t="s">
        <v>323</v>
      </c>
    </row>
    <row r="95" spans="1:9" x14ac:dyDescent="0.5">
      <c r="B95" s="3" t="s">
        <v>267</v>
      </c>
      <c r="C95" s="92">
        <f>C4</f>
        <v>420</v>
      </c>
      <c r="D95" s="95"/>
      <c r="E95" s="40"/>
      <c r="F95" s="40"/>
      <c r="G95" t="s">
        <v>268</v>
      </c>
      <c r="H95" s="168"/>
      <c r="I95" s="44"/>
    </row>
    <row r="96" spans="1:9" x14ac:dyDescent="0.5">
      <c r="B96" s="3" t="s">
        <v>269</v>
      </c>
      <c r="C96" s="92">
        <f>C5</f>
        <v>0</v>
      </c>
      <c r="D96" s="95"/>
      <c r="E96" s="95"/>
      <c r="F96" s="95"/>
      <c r="G96" t="s">
        <v>61</v>
      </c>
      <c r="H96" s="168"/>
      <c r="I96" s="44"/>
    </row>
    <row r="97" spans="1:9" x14ac:dyDescent="0.5">
      <c r="B97" s="3" t="s">
        <v>259</v>
      </c>
      <c r="C97" s="92">
        <f t="shared" ref="C97:C99" si="8">C6</f>
        <v>2000</v>
      </c>
      <c r="D97" s="95"/>
      <c r="E97" s="95"/>
      <c r="F97" s="95"/>
      <c r="G97" t="s">
        <v>105</v>
      </c>
      <c r="H97" s="168" t="s">
        <v>47</v>
      </c>
      <c r="I97" s="44"/>
    </row>
    <row r="98" spans="1:9" x14ac:dyDescent="0.5">
      <c r="B98" s="3" t="s">
        <v>260</v>
      </c>
      <c r="C98" s="92">
        <f t="shared" si="8"/>
        <v>12</v>
      </c>
      <c r="D98" s="92">
        <v>20</v>
      </c>
      <c r="E98" s="189">
        <f>$C$98*(1-$H$98)^(E94-C94)</f>
        <v>21.318718221014123</v>
      </c>
      <c r="F98" s="189">
        <f>$C$98*(1-$H$98)^(F94-C94)</f>
        <v>29.337057893113109</v>
      </c>
      <c r="G98" t="s">
        <v>64</v>
      </c>
      <c r="H98" s="168">
        <f>1-(D98/C98)^(1/(D94-C94))</f>
        <v>-6.5935911050706286E-2</v>
      </c>
      <c r="I98" s="44"/>
    </row>
    <row r="99" spans="1:9" ht="14.7" thickBot="1" x14ac:dyDescent="0.55000000000000004">
      <c r="B99" s="5" t="s">
        <v>65</v>
      </c>
      <c r="C99" s="93">
        <f t="shared" si="8"/>
        <v>92</v>
      </c>
      <c r="D99" s="173"/>
      <c r="E99" s="173"/>
      <c r="F99" s="173"/>
      <c r="G99" s="187" t="s">
        <v>66</v>
      </c>
      <c r="H99" s="166"/>
      <c r="I99" s="166"/>
    </row>
    <row r="100" spans="1:9" ht="14.7" thickBot="1" x14ac:dyDescent="0.55000000000000004"/>
    <row r="101" spans="1:9" x14ac:dyDescent="0.5">
      <c r="A101" s="3" t="s">
        <v>412</v>
      </c>
      <c r="B101" s="4"/>
      <c r="C101" s="4">
        <v>2016</v>
      </c>
      <c r="D101" s="4">
        <v>2024</v>
      </c>
      <c r="E101" s="29">
        <v>2025</v>
      </c>
      <c r="F101" s="29">
        <v>2030</v>
      </c>
      <c r="G101" s="4" t="s">
        <v>59</v>
      </c>
      <c r="H101" s="16" t="s">
        <v>322</v>
      </c>
      <c r="I101" s="4" t="s">
        <v>323</v>
      </c>
    </row>
    <row r="102" spans="1:9" x14ac:dyDescent="0.5">
      <c r="B102" s="3" t="s">
        <v>267</v>
      </c>
      <c r="C102" s="92">
        <f>C4</f>
        <v>420</v>
      </c>
      <c r="D102" s="95"/>
      <c r="E102" s="208">
        <v>210</v>
      </c>
      <c r="F102" s="189">
        <f>C102*(1-H102)^(F101-C101)</f>
        <v>142.88295001830966</v>
      </c>
      <c r="G102" t="s">
        <v>268</v>
      </c>
      <c r="H102" s="168">
        <f>1-(E102/C102)^(1/(E101-C101))</f>
        <v>7.4125287712709542E-2</v>
      </c>
      <c r="I102" s="44"/>
    </row>
    <row r="103" spans="1:9" x14ac:dyDescent="0.5">
      <c r="B103" s="3" t="s">
        <v>269</v>
      </c>
      <c r="C103" s="92">
        <f>C5</f>
        <v>0</v>
      </c>
      <c r="D103" s="95"/>
      <c r="E103" s="95"/>
      <c r="F103" s="95"/>
      <c r="G103" t="s">
        <v>61</v>
      </c>
      <c r="H103" s="168"/>
      <c r="I103" s="44"/>
    </row>
    <row r="104" spans="1:9" x14ac:dyDescent="0.5">
      <c r="B104" s="3" t="s">
        <v>259</v>
      </c>
      <c r="C104" s="92">
        <f>C6</f>
        <v>2000</v>
      </c>
      <c r="D104" s="95"/>
      <c r="E104" s="95"/>
      <c r="F104" s="95"/>
      <c r="G104" t="s">
        <v>105</v>
      </c>
      <c r="H104" s="168" t="s">
        <v>47</v>
      </c>
      <c r="I104" s="44"/>
    </row>
    <row r="105" spans="1:9" x14ac:dyDescent="0.5">
      <c r="B105" s="3" t="s">
        <v>260</v>
      </c>
      <c r="C105" s="92">
        <f>C7</f>
        <v>12</v>
      </c>
      <c r="D105" s="95"/>
      <c r="E105" s="95"/>
      <c r="F105" s="95"/>
      <c r="G105" t="s">
        <v>64</v>
      </c>
      <c r="H105" s="168">
        <f>1-(D105/C105)^(1/(D101-C101))</f>
        <v>1</v>
      </c>
      <c r="I105" s="44"/>
    </row>
    <row r="106" spans="1:9" ht="14.7" thickBot="1" x14ac:dyDescent="0.55000000000000004">
      <c r="B106" s="5" t="s">
        <v>65</v>
      </c>
      <c r="C106" s="93">
        <f>C8</f>
        <v>92</v>
      </c>
      <c r="D106" s="173"/>
      <c r="E106" s="173"/>
      <c r="F106" s="173"/>
      <c r="G106" s="187" t="s">
        <v>66</v>
      </c>
      <c r="H106" s="166"/>
      <c r="I106" s="166"/>
    </row>
    <row r="107" spans="1:9" ht="14.7" thickBot="1" x14ac:dyDescent="0.55000000000000004"/>
    <row r="108" spans="1:9" x14ac:dyDescent="0.5">
      <c r="A108" s="3" t="s">
        <v>413</v>
      </c>
      <c r="B108" s="4"/>
      <c r="C108" s="4">
        <v>2016</v>
      </c>
      <c r="D108" s="4">
        <v>2023</v>
      </c>
      <c r="E108" s="29">
        <v>2025</v>
      </c>
      <c r="F108" s="29">
        <v>2030</v>
      </c>
      <c r="G108" s="4" t="s">
        <v>59</v>
      </c>
      <c r="H108" s="16" t="s">
        <v>322</v>
      </c>
      <c r="I108" s="4" t="s">
        <v>323</v>
      </c>
    </row>
    <row r="109" spans="1:9" x14ac:dyDescent="0.5">
      <c r="B109" s="3" t="s">
        <v>267</v>
      </c>
      <c r="C109" s="92">
        <f>C4</f>
        <v>420</v>
      </c>
      <c r="D109" s="95"/>
      <c r="E109" s="39"/>
      <c r="F109" s="39"/>
      <c r="G109" t="s">
        <v>268</v>
      </c>
      <c r="H109" s="168">
        <f>1-(E109/C109)^(1/(E108-C108))</f>
        <v>1</v>
      </c>
      <c r="I109" s="44"/>
    </row>
    <row r="110" spans="1:9" x14ac:dyDescent="0.5">
      <c r="B110" s="3" t="s">
        <v>269</v>
      </c>
      <c r="C110" s="92">
        <f>C5</f>
        <v>0</v>
      </c>
      <c r="D110" s="95"/>
      <c r="E110" s="95"/>
      <c r="F110" s="95"/>
      <c r="G110" t="s">
        <v>61</v>
      </c>
      <c r="H110" s="168"/>
      <c r="I110" s="44"/>
    </row>
    <row r="111" spans="1:9" x14ac:dyDescent="0.5">
      <c r="B111" s="3" t="s">
        <v>259</v>
      </c>
      <c r="C111" s="92">
        <f>C6</f>
        <v>2000</v>
      </c>
      <c r="D111" s="95"/>
      <c r="E111" s="95"/>
      <c r="F111" s="95"/>
      <c r="G111" t="s">
        <v>105</v>
      </c>
      <c r="H111" s="168" t="s">
        <v>47</v>
      </c>
      <c r="I111" s="44"/>
    </row>
    <row r="112" spans="1:9" x14ac:dyDescent="0.5">
      <c r="B112" s="3" t="s">
        <v>260</v>
      </c>
      <c r="C112" s="92">
        <f>C7</f>
        <v>12</v>
      </c>
      <c r="D112" s="95"/>
      <c r="E112" s="95"/>
      <c r="F112" s="95"/>
      <c r="G112" t="s">
        <v>64</v>
      </c>
      <c r="H112" s="168">
        <f>1-(D112/C112)^(1/(D108-C108))</f>
        <v>1</v>
      </c>
      <c r="I112" s="44"/>
    </row>
    <row r="113" spans="2:9" x14ac:dyDescent="0.5">
      <c r="B113" s="3" t="s">
        <v>65</v>
      </c>
      <c r="C113" s="92">
        <f>C8</f>
        <v>92</v>
      </c>
      <c r="D113" s="95"/>
      <c r="E113" s="95"/>
      <c r="F113" s="95"/>
      <c r="G113" t="s">
        <v>66</v>
      </c>
      <c r="H113" s="168"/>
      <c r="I113" s="44"/>
    </row>
    <row r="114" spans="2:9" ht="14.7" thickBot="1" x14ac:dyDescent="0.55000000000000004">
      <c r="B114" s="5" t="s">
        <v>51</v>
      </c>
      <c r="C114" s="173"/>
      <c r="D114" s="255" t="s">
        <v>414</v>
      </c>
      <c r="E114" s="173"/>
      <c r="F114" s="173"/>
      <c r="G114" s="6" t="s">
        <v>74</v>
      </c>
      <c r="H114" s="169"/>
      <c r="I114" s="166"/>
    </row>
  </sheetData>
  <hyperlinks>
    <hyperlink ref="E19" r:id="rId1" xr:uid="{00000000-0004-0000-1200-000004000000}"/>
    <hyperlink ref="E23" r:id="rId2" xr:uid="{0A4E5978-E13D-460D-B173-5FD20B6515DC}"/>
    <hyperlink ref="E22" r:id="rId3" xr:uid="{7ECC51E8-0C70-48C8-9ECD-D3D1542440F7}"/>
    <hyperlink ref="E15" r:id="rId4" xr:uid="{7BB956E3-0BD8-4C7A-85FE-55BAD7F011D0}"/>
    <hyperlink ref="E27" r:id="rId5" xr:uid="{1A4050A4-C433-4EAF-8390-6BDF6F7A5954}"/>
  </hyperlinks>
  <pageMargins left="0.7" right="0.7" top="0.75" bottom="0.75" header="0.3" footer="0.3"/>
  <pageSetup paperSize="9" orientation="portrait" r:id="rId6"/>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Tabelle19">
    <tabColor rgb="FFFFC000"/>
  </sheetPr>
  <dimension ref="B3:L18"/>
  <sheetViews>
    <sheetView workbookViewId="0">
      <selection activeCell="L17" sqref="L17"/>
    </sheetView>
  </sheetViews>
  <sheetFormatPr defaultColWidth="11.46875" defaultRowHeight="14.35" x14ac:dyDescent="0.5"/>
  <cols>
    <col min="2" max="2" width="27.64453125" bestFit="1" customWidth="1"/>
    <col min="12" max="12" width="20.17578125" bestFit="1" customWidth="1"/>
  </cols>
  <sheetData>
    <row r="3" spans="2:12" x14ac:dyDescent="0.5">
      <c r="C3" s="425">
        <v>2016</v>
      </c>
      <c r="D3" s="425"/>
      <c r="E3" s="425"/>
      <c r="F3" s="426">
        <v>2025</v>
      </c>
      <c r="G3" s="426"/>
      <c r="H3" s="426"/>
      <c r="I3" s="426">
        <v>2030</v>
      </c>
      <c r="J3" s="426"/>
      <c r="K3" s="426"/>
      <c r="L3" s="105"/>
    </row>
    <row r="4" spans="2:12" ht="18.350000000000001" thickBot="1" x14ac:dyDescent="0.65">
      <c r="B4" s="104" t="s">
        <v>415</v>
      </c>
      <c r="C4" s="106" t="s">
        <v>56</v>
      </c>
      <c r="D4" s="106" t="s">
        <v>57</v>
      </c>
      <c r="E4" s="106" t="s">
        <v>58</v>
      </c>
      <c r="F4" s="106" t="s">
        <v>56</v>
      </c>
      <c r="G4" s="106" t="s">
        <v>57</v>
      </c>
      <c r="H4" s="106" t="s">
        <v>58</v>
      </c>
      <c r="I4" s="106" t="s">
        <v>56</v>
      </c>
      <c r="J4" s="106" t="s">
        <v>57</v>
      </c>
      <c r="K4" s="106" t="s">
        <v>58</v>
      </c>
      <c r="L4" s="106" t="s">
        <v>59</v>
      </c>
    </row>
    <row r="5" spans="2:12" x14ac:dyDescent="0.5">
      <c r="B5" s="18" t="s">
        <v>255</v>
      </c>
      <c r="C5" s="81">
        <f>'Overview 2016 (in)'!J22</f>
        <v>735</v>
      </c>
      <c r="D5" s="19">
        <f>'Overview 2016 (in)'!K22</f>
        <v>200</v>
      </c>
      <c r="E5" s="20">
        <f>'Overview 2016 (in)'!L22</f>
        <v>468</v>
      </c>
      <c r="F5" s="81">
        <f>IFERROR(C5*H5/E5,0)</f>
        <v>735</v>
      </c>
      <c r="G5" s="19">
        <f t="shared" ref="G5:G15" si="0">IFERROR(D5*H5/E5, 0)</f>
        <v>200</v>
      </c>
      <c r="H5" s="20">
        <f>E5</f>
        <v>468</v>
      </c>
      <c r="I5" s="81">
        <f>IFERROR(F5*K5/H5,0)</f>
        <v>735</v>
      </c>
      <c r="J5" s="19">
        <f>IFERROR(G5*K5/H5, 0)</f>
        <v>200</v>
      </c>
      <c r="K5" s="20">
        <f>H5</f>
        <v>468</v>
      </c>
      <c r="L5" s="21" t="s">
        <v>256</v>
      </c>
    </row>
    <row r="6" spans="2:12" x14ac:dyDescent="0.5">
      <c r="B6" s="3" t="s">
        <v>257</v>
      </c>
      <c r="C6" s="82">
        <f>'Overview 2016 (in)'!J23</f>
        <v>10000</v>
      </c>
      <c r="D6" s="83">
        <f>'Overview 2016 (in)'!K23</f>
        <v>100</v>
      </c>
      <c r="E6" s="84">
        <f>'Overview 2016 (in)'!L23</f>
        <v>3500</v>
      </c>
      <c r="F6" s="82">
        <f t="shared" ref="F6:F15" si="1">IFERROR(C6*H6/E6,0)</f>
        <v>10000</v>
      </c>
      <c r="G6" s="83">
        <f t="shared" si="0"/>
        <v>100</v>
      </c>
      <c r="H6" s="84">
        <f>E6</f>
        <v>3500</v>
      </c>
      <c r="I6" s="82">
        <f t="shared" ref="I6:I15" si="2">IFERROR(F6*K6/H6,0)</f>
        <v>10000</v>
      </c>
      <c r="J6" s="83">
        <f t="shared" ref="J6:J13" si="3">IFERROR(G6*K6/H6, 0)</f>
        <v>100</v>
      </c>
      <c r="K6" s="84">
        <f>H6</f>
        <v>3500</v>
      </c>
      <c r="L6" s="22" t="s">
        <v>258</v>
      </c>
    </row>
    <row r="7" spans="2:12" x14ac:dyDescent="0.5">
      <c r="B7" s="18" t="s">
        <v>259</v>
      </c>
      <c r="C7" s="85">
        <f>'Overview 2016 (in)'!J24</f>
        <v>4000</v>
      </c>
      <c r="D7" s="23">
        <f>'Overview 2016 (in)'!K24</f>
        <v>500</v>
      </c>
      <c r="E7" s="107">
        <f>'Overview 2016 (in)'!L24</f>
        <v>2000</v>
      </c>
      <c r="F7" s="85">
        <f ca="1">IFERROR(C7*H7/E7,0)</f>
        <v>4000</v>
      </c>
      <c r="G7" s="23">
        <f t="shared" ca="1" si="0"/>
        <v>500</v>
      </c>
      <c r="H7" s="107">
        <f ca="1">INDIRECT(ADDRESS(ROW($B6),COLUMN(D$4),1,,$B$4))</f>
        <v>2000</v>
      </c>
      <c r="I7" s="85">
        <f t="shared" ca="1" si="2"/>
        <v>4000</v>
      </c>
      <c r="J7" s="23">
        <f t="shared" ca="1" si="3"/>
        <v>500</v>
      </c>
      <c r="K7" s="107">
        <f ca="1">INDIRECT(ADDRESS(ROW($B6),COLUMN($E4),1,,$B$4))</f>
        <v>2000</v>
      </c>
      <c r="L7" s="21" t="s">
        <v>105</v>
      </c>
    </row>
    <row r="8" spans="2:12" x14ac:dyDescent="0.5">
      <c r="B8" s="3" t="s">
        <v>260</v>
      </c>
      <c r="C8" s="86">
        <f>'Overview 2016 (in)'!J25</f>
        <v>20</v>
      </c>
      <c r="D8" s="87">
        <f>'Overview 2016 (in)'!K25</f>
        <v>5</v>
      </c>
      <c r="E8" s="109">
        <f>'Overview 2016 (in)'!L25</f>
        <v>12</v>
      </c>
      <c r="F8" s="86">
        <f ca="1">IFERROR(C8*H8/E8,0)</f>
        <v>33.333333333333336</v>
      </c>
      <c r="G8" s="87">
        <f ca="1">IFERROR(D8*H8/E8, 0)</f>
        <v>8.3333333333333339</v>
      </c>
      <c r="H8" s="109">
        <f ca="1">INDIRECT(ADDRESS(ROW($B7),COLUMN(D$4),1,,$B$4))</f>
        <v>20</v>
      </c>
      <c r="I8" s="86">
        <f t="shared" ca="1" si="2"/>
        <v>33.333333333333336</v>
      </c>
      <c r="J8" s="87">
        <f t="shared" ca="1" si="3"/>
        <v>8.3333333333333339</v>
      </c>
      <c r="K8" s="109">
        <f ca="1">INDIRECT(ADDRESS(ROW($B7),COLUMN($E4),1,,$B$4))</f>
        <v>20</v>
      </c>
      <c r="L8" s="22" t="s">
        <v>64</v>
      </c>
    </row>
    <row r="9" spans="2:12" x14ac:dyDescent="0.5">
      <c r="B9" s="18" t="s">
        <v>81</v>
      </c>
      <c r="C9" s="85">
        <f>'Overview 2016 (in)'!J26</f>
        <v>100</v>
      </c>
      <c r="D9" s="23">
        <f>'Overview 2016 (in)'!K26</f>
        <v>84</v>
      </c>
      <c r="E9" s="24">
        <f>'Overview 2016 (in)'!L26</f>
        <v>90</v>
      </c>
      <c r="F9" s="85">
        <f t="shared" si="1"/>
        <v>100</v>
      </c>
      <c r="G9" s="23">
        <f t="shared" si="0"/>
        <v>84</v>
      </c>
      <c r="H9" s="24">
        <f>E9</f>
        <v>90</v>
      </c>
      <c r="I9" s="85">
        <f t="shared" si="2"/>
        <v>100</v>
      </c>
      <c r="J9" s="23">
        <f t="shared" si="3"/>
        <v>84</v>
      </c>
      <c r="K9" s="24">
        <f>H9</f>
        <v>90</v>
      </c>
      <c r="L9" s="21" t="s">
        <v>66</v>
      </c>
    </row>
    <row r="10" spans="2:12" x14ac:dyDescent="0.5">
      <c r="B10" s="3" t="s">
        <v>65</v>
      </c>
      <c r="C10" s="86">
        <f>'Overview 2016 (in)'!J27</f>
        <v>98</v>
      </c>
      <c r="D10" s="87">
        <f>'Overview 2016 (in)'!K27</f>
        <v>81</v>
      </c>
      <c r="E10" s="109">
        <f>'Overview 2016 (in)'!L27</f>
        <v>92</v>
      </c>
      <c r="F10" s="86">
        <f ca="1">IFERROR(C10*H10/E10,0)</f>
        <v>98</v>
      </c>
      <c r="G10" s="87">
        <f ca="1">IFERROR(D10*H10/E10, 0)</f>
        <v>81</v>
      </c>
      <c r="H10" s="109">
        <f ca="1">INDIRECT(ADDRESS(ROW($B8),COLUMN(D$4),1,,$B$4))</f>
        <v>92</v>
      </c>
      <c r="I10" s="86">
        <f t="shared" ca="1" si="2"/>
        <v>98</v>
      </c>
      <c r="J10" s="87">
        <f t="shared" ca="1" si="3"/>
        <v>81</v>
      </c>
      <c r="K10" s="109">
        <f ca="1">INDIRECT(ADDRESS(ROW($B8),COLUMN($E4),1,,$B$4))</f>
        <v>92</v>
      </c>
      <c r="L10" s="22" t="s">
        <v>66</v>
      </c>
    </row>
    <row r="11" spans="2:12" x14ac:dyDescent="0.5">
      <c r="B11" s="18" t="s">
        <v>137</v>
      </c>
      <c r="C11" s="81">
        <f>'Overview 2016 (in)'!J28</f>
        <v>0.09</v>
      </c>
      <c r="D11" s="19">
        <f>'Overview 2016 (in)'!K28</f>
        <v>0.36</v>
      </c>
      <c r="E11" s="20">
        <f>'Overview 2016 (in)'!L28</f>
        <v>0.1</v>
      </c>
      <c r="F11" s="81">
        <f t="shared" si="1"/>
        <v>8.9999999999999983E-2</v>
      </c>
      <c r="G11" s="19">
        <f t="shared" si="0"/>
        <v>0.35999999999999993</v>
      </c>
      <c r="H11" s="20">
        <f>E11</f>
        <v>0.1</v>
      </c>
      <c r="I11" s="81">
        <f t="shared" si="2"/>
        <v>8.9999999999999983E-2</v>
      </c>
      <c r="J11" s="19">
        <f t="shared" si="3"/>
        <v>0.35999999999999993</v>
      </c>
      <c r="K11" s="20">
        <f>H11</f>
        <v>0.1</v>
      </c>
      <c r="L11" s="21" t="s">
        <v>261</v>
      </c>
    </row>
    <row r="12" spans="2:12" x14ac:dyDescent="0.5">
      <c r="B12" s="28" t="s">
        <v>262</v>
      </c>
      <c r="C12" s="82">
        <f>'Overview 2016 (in)'!J29</f>
        <v>3.0000000000000001E-3</v>
      </c>
      <c r="D12" s="83">
        <f>'Overview 2016 (in)'!K29</f>
        <v>1</v>
      </c>
      <c r="E12" s="84">
        <f>'Overview 2016 (in)'!L29</f>
        <v>0.01</v>
      </c>
      <c r="F12" s="82">
        <f t="shared" si="1"/>
        <v>3.0000000000000001E-3</v>
      </c>
      <c r="G12" s="83">
        <f t="shared" si="0"/>
        <v>1</v>
      </c>
      <c r="H12" s="84">
        <f>E12</f>
        <v>0.01</v>
      </c>
      <c r="I12" s="82">
        <f t="shared" si="2"/>
        <v>3.0000000000000001E-3</v>
      </c>
      <c r="J12" s="83">
        <f t="shared" si="3"/>
        <v>1</v>
      </c>
      <c r="K12" s="84">
        <f>H12</f>
        <v>0.01</v>
      </c>
      <c r="L12" s="88" t="s">
        <v>265</v>
      </c>
    </row>
    <row r="13" spans="2:12" x14ac:dyDescent="0.5">
      <c r="B13" s="89" t="s">
        <v>266</v>
      </c>
      <c r="C13" s="90">
        <f>'Overview 2016 (in)'!J30</f>
        <v>0</v>
      </c>
      <c r="D13" s="25">
        <f>'Overview 2016 (in)'!K30</f>
        <v>0</v>
      </c>
      <c r="E13" s="26">
        <f>'Overview 2016 (in)'!L30</f>
        <v>0</v>
      </c>
      <c r="F13" s="90">
        <f>IFERROR(C13*H13/E13,0)</f>
        <v>0</v>
      </c>
      <c r="G13" s="25">
        <f t="shared" si="0"/>
        <v>0</v>
      </c>
      <c r="H13" s="26">
        <f>E13</f>
        <v>0</v>
      </c>
      <c r="I13" s="90">
        <f t="shared" si="2"/>
        <v>0</v>
      </c>
      <c r="J13" s="25">
        <f t="shared" si="3"/>
        <v>0</v>
      </c>
      <c r="K13" s="26">
        <f>H13</f>
        <v>0</v>
      </c>
      <c r="L13" s="21" t="s">
        <v>64</v>
      </c>
    </row>
    <row r="14" spans="2:12" x14ac:dyDescent="0.5">
      <c r="B14" s="28" t="s">
        <v>267</v>
      </c>
      <c r="C14" s="86">
        <f>'Overview 2016 (in)'!J31</f>
        <v>199.5</v>
      </c>
      <c r="D14" s="87">
        <f>'Overview 2016 (in)'!K31</f>
        <v>840</v>
      </c>
      <c r="E14" s="108">
        <f>'Overview 2016 (in)'!L31</f>
        <v>420</v>
      </c>
      <c r="F14" s="86">
        <f ca="1">IFERROR(C14*H14/E14,0)</f>
        <v>99.75</v>
      </c>
      <c r="G14" s="87">
        <f t="shared" ca="1" si="0"/>
        <v>420</v>
      </c>
      <c r="H14" s="108">
        <f ca="1">IF(CELL("format",INDIRECT(ADDRESS(ROW($B4),COLUMN(D$4),1,,$B$4)))="W0-",INDIRECT(ADDRESS(ROW($B4),COLUMN(D$4),1,,$B$4))*'Overview 2016 (in)'!$O$7,INDIRECT(ADDRESS(ROW($B4),COLUMN(D$4),1,,$B$4)))</f>
        <v>210</v>
      </c>
      <c r="I14" s="86">
        <f t="shared" ca="1" si="2"/>
        <v>67.924999999999997</v>
      </c>
      <c r="J14" s="87">
        <f t="shared" ref="J14:J15" ca="1" si="4">IFERROR(G14*K14/H14,0)</f>
        <v>286</v>
      </c>
      <c r="K14" s="108">
        <f ca="1">IF(CELL("format",INDIRECT(ADDRESS(ROW($B4),COLUMN($E4),1,,$B$4)))="W0-",INDIRECT(ADDRESS(ROW($B4),COLUMN($E4),1,,$B$4))*'Overview 2016 (in)'!$O$7,INDIRECT(ADDRESS(ROW($B4),COLUMN($E4),1,,$B$4)))</f>
        <v>143</v>
      </c>
      <c r="L14" s="88" t="s">
        <v>268</v>
      </c>
    </row>
    <row r="15" spans="2:12" x14ac:dyDescent="0.5">
      <c r="B15" s="89" t="s">
        <v>269</v>
      </c>
      <c r="C15" s="23">
        <f>'Overview 2016 (in)'!J32</f>
        <v>0</v>
      </c>
      <c r="D15" s="23">
        <f>'Overview 2016 (in)'!K32</f>
        <v>0</v>
      </c>
      <c r="E15" s="107">
        <f>'Overview 2016 (in)'!L32</f>
        <v>0</v>
      </c>
      <c r="F15" s="23">
        <f t="shared" ca="1" si="1"/>
        <v>0</v>
      </c>
      <c r="G15" s="23">
        <f t="shared" ca="1" si="0"/>
        <v>0</v>
      </c>
      <c r="H15" s="107">
        <f ca="1">IF(CELL("format",INDIRECT(ADDRESS(ROW($B5),COLUMN(D$4),1,,$B$4)))="W0-",INDIRECT(ADDRESS(ROW($B5),COLUMN(D$4),1,,$B$4))*'Overview 2016 (in)'!$O$7,INDIRECT(ADDRESS(ROW($B5),COLUMN(D$4),1,,$B$4)))</f>
        <v>0</v>
      </c>
      <c r="I15" s="23">
        <f t="shared" ca="1" si="2"/>
        <v>0</v>
      </c>
      <c r="J15" s="23">
        <f t="shared" ca="1" si="4"/>
        <v>0</v>
      </c>
      <c r="K15" s="107">
        <f ca="1">IF(CELL("format",INDIRECT(ADDRESS(ROW($B5),COLUMN($E4),1,,$B$4)))="W0-",INDIRECT(ADDRESS(ROW($B5),COLUMN($E4),1,,$B$4))*'Overview 2016 (in)'!$O$7,INDIRECT(ADDRESS(ROW($B5),COLUMN($E4),1,,$B$4)))</f>
        <v>0</v>
      </c>
      <c r="L15" s="21" t="s">
        <v>61</v>
      </c>
    </row>
    <row r="16" spans="2:12" ht="14.7" thickBot="1" x14ac:dyDescent="0.55000000000000004">
      <c r="B16" s="245" t="s">
        <v>51</v>
      </c>
      <c r="C16" s="247">
        <f>'Li-Ion (NMC) (calc)'!C9</f>
        <v>0.33333333333333331</v>
      </c>
      <c r="D16" s="247">
        <f>'Li-Ion (NMC) (calc)'!C10</f>
        <v>1</v>
      </c>
      <c r="E16" s="246">
        <f>AVERAGE(C16:D16)</f>
        <v>0.66666666666666663</v>
      </c>
      <c r="F16" s="247">
        <f t="shared" ref="F16:K16" si="5">C16</f>
        <v>0.33333333333333331</v>
      </c>
      <c r="G16" s="247">
        <f t="shared" si="5"/>
        <v>1</v>
      </c>
      <c r="H16" s="246">
        <f t="shared" si="5"/>
        <v>0.66666666666666663</v>
      </c>
      <c r="I16" s="247">
        <f t="shared" si="5"/>
        <v>0.33333333333333331</v>
      </c>
      <c r="J16" s="247">
        <f t="shared" si="5"/>
        <v>1</v>
      </c>
      <c r="K16" s="246">
        <f t="shared" si="5"/>
        <v>0.66666666666666663</v>
      </c>
      <c r="L16" s="135" t="s">
        <v>74</v>
      </c>
    </row>
    <row r="17" spans="2:3" x14ac:dyDescent="0.5">
      <c r="C17" s="111"/>
    </row>
    <row r="18" spans="2:3" ht="18" x14ac:dyDescent="0.6">
      <c r="B18" s="1"/>
    </row>
  </sheetData>
  <mergeCells count="3">
    <mergeCell ref="C3:E3"/>
    <mergeCell ref="F3:H3"/>
    <mergeCell ref="I3:K3"/>
  </mergeCells>
  <pageMargins left="0.7" right="0.7" top="0.78740157499999996" bottom="0.78740157499999996" header="0.3" footer="0.3"/>
  <pageSetup paperSize="9"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22">
    <tabColor rgb="FFFFC000"/>
  </sheetPr>
  <dimension ref="A2:L154"/>
  <sheetViews>
    <sheetView workbookViewId="0">
      <selection activeCell="B11" sqref="B11"/>
    </sheetView>
  </sheetViews>
  <sheetFormatPr defaultColWidth="9.17578125" defaultRowHeight="14.35" x14ac:dyDescent="0.5"/>
  <cols>
    <col min="1" max="1" width="12.64453125" bestFit="1" customWidth="1"/>
    <col min="2" max="2" width="26.46875" customWidth="1"/>
    <col min="3" max="3" width="13" customWidth="1"/>
    <col min="4" max="4" width="13.64453125" customWidth="1"/>
    <col min="5" max="5" width="13" customWidth="1"/>
    <col min="6" max="8" width="10.64453125" customWidth="1"/>
    <col min="9" max="9" width="20.29296875" customWidth="1"/>
    <col min="10" max="10" width="24.29296875" customWidth="1"/>
    <col min="11" max="16" width="12.64453125" customWidth="1"/>
    <col min="17" max="17" width="9.46875" bestFit="1" customWidth="1"/>
  </cols>
  <sheetData>
    <row r="2" spans="2:12" ht="18.350000000000001" thickBot="1" x14ac:dyDescent="0.65">
      <c r="B2" s="1" t="s">
        <v>153</v>
      </c>
      <c r="C2" s="9"/>
      <c r="J2" s="1" t="s">
        <v>286</v>
      </c>
    </row>
    <row r="3" spans="2:12" x14ac:dyDescent="0.5">
      <c r="B3" s="4"/>
      <c r="C3" s="4">
        <v>2016</v>
      </c>
      <c r="D3" s="29">
        <v>2025</v>
      </c>
      <c r="E3" s="29">
        <v>2030</v>
      </c>
      <c r="F3" s="4" t="s">
        <v>59</v>
      </c>
      <c r="H3" s="4" t="s">
        <v>287</v>
      </c>
      <c r="I3" s="4" t="s">
        <v>289</v>
      </c>
      <c r="J3" s="4" t="s">
        <v>290</v>
      </c>
    </row>
    <row r="4" spans="2:12" x14ac:dyDescent="0.5">
      <c r="B4" s="3" t="s">
        <v>267</v>
      </c>
      <c r="C4" s="79">
        <f>'Overview 2016 (in)'!I47</f>
        <v>577.5</v>
      </c>
      <c r="D4" s="32">
        <v>195</v>
      </c>
      <c r="E4" s="103">
        <v>107</v>
      </c>
      <c r="F4" t="s">
        <v>268</v>
      </c>
      <c r="H4" s="35" t="s">
        <v>350</v>
      </c>
      <c r="I4" s="35" t="s">
        <v>416</v>
      </c>
      <c r="J4" s="35" t="s">
        <v>416</v>
      </c>
    </row>
    <row r="5" spans="2:12" x14ac:dyDescent="0.5">
      <c r="B5" s="3" t="s">
        <v>269</v>
      </c>
      <c r="C5" s="79">
        <f>'Overview 2016 (in)'!I48</f>
        <v>0</v>
      </c>
      <c r="D5" s="32">
        <v>0</v>
      </c>
      <c r="E5" s="103">
        <v>0</v>
      </c>
      <c r="F5" t="s">
        <v>61</v>
      </c>
      <c r="H5" s="35" t="s">
        <v>350</v>
      </c>
      <c r="I5" t="s">
        <v>291</v>
      </c>
      <c r="J5" t="s">
        <v>291</v>
      </c>
    </row>
    <row r="6" spans="2:12" x14ac:dyDescent="0.5">
      <c r="B6" s="3" t="s">
        <v>259</v>
      </c>
      <c r="C6" s="103">
        <f>'Overview 2016 (in)'!I40</f>
        <v>2500</v>
      </c>
      <c r="D6" s="103">
        <v>5000</v>
      </c>
      <c r="E6" s="103">
        <v>7500</v>
      </c>
      <c r="F6" t="s">
        <v>105</v>
      </c>
      <c r="H6" s="35" t="s">
        <v>350</v>
      </c>
      <c r="I6" t="s">
        <v>291</v>
      </c>
      <c r="J6" t="s">
        <v>291</v>
      </c>
    </row>
    <row r="7" spans="2:12" x14ac:dyDescent="0.5">
      <c r="B7" s="3" t="s">
        <v>260</v>
      </c>
      <c r="C7" s="32">
        <f>'Overview 2016 (in)'!I41</f>
        <v>12</v>
      </c>
      <c r="D7">
        <v>17</v>
      </c>
      <c r="E7">
        <v>20</v>
      </c>
      <c r="F7" t="s">
        <v>64</v>
      </c>
      <c r="H7" s="35" t="s">
        <v>350</v>
      </c>
      <c r="I7" t="s">
        <v>291</v>
      </c>
      <c r="J7" t="s">
        <v>291</v>
      </c>
    </row>
    <row r="8" spans="2:12" x14ac:dyDescent="0.5">
      <c r="B8" s="3" t="s">
        <v>65</v>
      </c>
      <c r="C8" s="32">
        <f>'Overview 2016 (in)'!I43</f>
        <v>86</v>
      </c>
      <c r="D8" s="32">
        <v>92</v>
      </c>
      <c r="E8" s="259">
        <v>94</v>
      </c>
      <c r="F8" t="s">
        <v>66</v>
      </c>
      <c r="H8" s="35" t="s">
        <v>350</v>
      </c>
      <c r="I8" t="s">
        <v>291</v>
      </c>
      <c r="J8" t="s">
        <v>291</v>
      </c>
    </row>
    <row r="9" spans="2:12" x14ac:dyDescent="0.5">
      <c r="B9" s="3" t="s">
        <v>331</v>
      </c>
      <c r="C9" s="203">
        <f>1/3</f>
        <v>0.33333333333333331</v>
      </c>
      <c r="D9" s="203">
        <f t="shared" ref="D9:E9" si="0">1/3</f>
        <v>0.33333333333333331</v>
      </c>
      <c r="E9" s="203">
        <f t="shared" si="0"/>
        <v>0.33333333333333331</v>
      </c>
      <c r="F9" t="s">
        <v>344</v>
      </c>
      <c r="H9" s="35">
        <v>18</v>
      </c>
      <c r="I9" s="35">
        <v>18</v>
      </c>
      <c r="J9" s="35">
        <v>18</v>
      </c>
    </row>
    <row r="10" spans="2:12" ht="14.7" thickBot="1" x14ac:dyDescent="0.55000000000000004">
      <c r="B10" s="5" t="s">
        <v>334</v>
      </c>
      <c r="C10" s="6">
        <v>1</v>
      </c>
      <c r="D10" s="6">
        <v>1</v>
      </c>
      <c r="E10" s="6">
        <v>1</v>
      </c>
      <c r="F10" s="6" t="s">
        <v>74</v>
      </c>
      <c r="H10" s="36">
        <v>18</v>
      </c>
      <c r="I10" s="36">
        <v>18</v>
      </c>
      <c r="J10" s="36">
        <v>18</v>
      </c>
    </row>
    <row r="11" spans="2:12" x14ac:dyDescent="0.5">
      <c r="B11" s="3"/>
      <c r="H11" s="35"/>
    </row>
    <row r="12" spans="2:12" x14ac:dyDescent="0.5">
      <c r="K12" s="2" t="s">
        <v>294</v>
      </c>
    </row>
    <row r="13" spans="2:12" ht="18.350000000000001" thickBot="1" x14ac:dyDescent="0.65">
      <c r="B13" s="1" t="s">
        <v>295</v>
      </c>
      <c r="K13" s="11" t="s">
        <v>296</v>
      </c>
    </row>
    <row r="14" spans="2:12" x14ac:dyDescent="0.5">
      <c r="B14" s="7" t="s">
        <v>297</v>
      </c>
      <c r="C14" s="7" t="s">
        <v>298</v>
      </c>
      <c r="D14" s="7" t="s">
        <v>299</v>
      </c>
      <c r="E14" s="7" t="s">
        <v>300</v>
      </c>
      <c r="F14" s="46" t="s">
        <v>301</v>
      </c>
      <c r="G14" s="7"/>
      <c r="H14" s="46" t="s">
        <v>84</v>
      </c>
      <c r="K14" s="40" t="s">
        <v>302</v>
      </c>
      <c r="L14" s="40"/>
    </row>
    <row r="15" spans="2:12" x14ac:dyDescent="0.5">
      <c r="B15">
        <v>1</v>
      </c>
      <c r="C15" t="s">
        <v>303</v>
      </c>
      <c r="D15" t="s">
        <v>304</v>
      </c>
      <c r="E15" s="164" t="s">
        <v>305</v>
      </c>
      <c r="F15" s="80" t="s">
        <v>306</v>
      </c>
      <c r="H15" s="22" t="s">
        <v>376</v>
      </c>
    </row>
    <row r="16" spans="2:12" x14ac:dyDescent="0.5">
      <c r="B16">
        <v>2</v>
      </c>
      <c r="C16" t="s">
        <v>307</v>
      </c>
      <c r="D16" t="s">
        <v>308</v>
      </c>
      <c r="E16" s="164" t="s">
        <v>309</v>
      </c>
      <c r="F16" s="80" t="s">
        <v>310</v>
      </c>
      <c r="H16" s="22" t="s">
        <v>376</v>
      </c>
    </row>
    <row r="17" spans="2:8" x14ac:dyDescent="0.5">
      <c r="B17">
        <v>3</v>
      </c>
      <c r="C17" t="s">
        <v>354</v>
      </c>
      <c r="D17" t="s">
        <v>355</v>
      </c>
      <c r="E17" s="164" t="s">
        <v>356</v>
      </c>
      <c r="F17" s="80" t="s">
        <v>357</v>
      </c>
      <c r="H17" s="22" t="s">
        <v>376</v>
      </c>
    </row>
    <row r="18" spans="2:8" x14ac:dyDescent="0.5">
      <c r="B18">
        <v>4</v>
      </c>
      <c r="C18" t="s">
        <v>311</v>
      </c>
      <c r="D18" t="s">
        <v>312</v>
      </c>
      <c r="E18" s="164" t="s">
        <v>313</v>
      </c>
      <c r="F18" s="80" t="s">
        <v>314</v>
      </c>
      <c r="H18" s="22" t="s">
        <v>376</v>
      </c>
    </row>
    <row r="19" spans="2:8" x14ac:dyDescent="0.5">
      <c r="B19">
        <v>5</v>
      </c>
      <c r="C19" t="s">
        <v>358</v>
      </c>
      <c r="D19" t="s">
        <v>359</v>
      </c>
      <c r="E19" s="164" t="s">
        <v>360</v>
      </c>
      <c r="F19" s="80" t="s">
        <v>361</v>
      </c>
      <c r="H19" s="22" t="s">
        <v>403</v>
      </c>
    </row>
    <row r="20" spans="2:8" x14ac:dyDescent="0.5">
      <c r="B20">
        <v>6</v>
      </c>
      <c r="C20" s="199" t="s">
        <v>417</v>
      </c>
      <c r="E20" s="164" t="s">
        <v>418</v>
      </c>
      <c r="F20" s="185" t="s">
        <v>419</v>
      </c>
      <c r="H20" s="22" t="s">
        <v>403</v>
      </c>
    </row>
    <row r="21" spans="2:8" x14ac:dyDescent="0.5">
      <c r="B21">
        <v>7</v>
      </c>
      <c r="C21" s="199" t="s">
        <v>420</v>
      </c>
      <c r="D21" t="s">
        <v>421</v>
      </c>
      <c r="E21" s="164" t="s">
        <v>422</v>
      </c>
      <c r="F21" s="185" t="s">
        <v>423</v>
      </c>
      <c r="H21" s="22" t="s">
        <v>403</v>
      </c>
    </row>
    <row r="22" spans="2:8" x14ac:dyDescent="0.5">
      <c r="B22">
        <v>8</v>
      </c>
      <c r="C22" s="199" t="s">
        <v>424</v>
      </c>
      <c r="D22" t="s">
        <v>425</v>
      </c>
      <c r="E22" s="164" t="s">
        <v>426</v>
      </c>
      <c r="F22" s="185" t="s">
        <v>427</v>
      </c>
      <c r="H22" s="22" t="s">
        <v>403</v>
      </c>
    </row>
    <row r="23" spans="2:8" x14ac:dyDescent="0.5">
      <c r="B23">
        <v>9</v>
      </c>
      <c r="C23" t="s">
        <v>428</v>
      </c>
      <c r="D23" t="s">
        <v>429</v>
      </c>
      <c r="E23" s="164" t="s">
        <v>430</v>
      </c>
      <c r="F23" s="185" t="s">
        <v>431</v>
      </c>
      <c r="H23" s="22" t="s">
        <v>376</v>
      </c>
    </row>
    <row r="24" spans="2:8" x14ac:dyDescent="0.5">
      <c r="B24">
        <v>10</v>
      </c>
      <c r="C24" t="s">
        <v>432</v>
      </c>
      <c r="D24" t="s">
        <v>433</v>
      </c>
      <c r="E24" s="164" t="s">
        <v>434</v>
      </c>
      <c r="F24" s="185" t="s">
        <v>435</v>
      </c>
      <c r="H24" s="22" t="s">
        <v>376</v>
      </c>
    </row>
    <row r="25" spans="2:8" x14ac:dyDescent="0.5">
      <c r="B25">
        <v>11</v>
      </c>
      <c r="C25" t="s">
        <v>436</v>
      </c>
      <c r="D25" t="s">
        <v>437</v>
      </c>
      <c r="E25" s="164" t="s">
        <v>438</v>
      </c>
      <c r="F25" s="185" t="s">
        <v>388</v>
      </c>
      <c r="H25" s="22" t="s">
        <v>376</v>
      </c>
    </row>
    <row r="26" spans="2:8" x14ac:dyDescent="0.5">
      <c r="B26">
        <v>12</v>
      </c>
      <c r="C26" t="s">
        <v>439</v>
      </c>
      <c r="D26" t="s">
        <v>440</v>
      </c>
      <c r="E26" s="164" t="s">
        <v>441</v>
      </c>
      <c r="F26" s="185" t="s">
        <v>442</v>
      </c>
      <c r="H26" s="22" t="s">
        <v>403</v>
      </c>
    </row>
    <row r="27" spans="2:8" x14ac:dyDescent="0.5">
      <c r="B27">
        <v>13</v>
      </c>
      <c r="C27" t="s">
        <v>443</v>
      </c>
      <c r="D27" t="s">
        <v>444</v>
      </c>
      <c r="E27" s="164" t="s">
        <v>445</v>
      </c>
      <c r="F27" s="185" t="s">
        <v>366</v>
      </c>
      <c r="H27" s="22" t="s">
        <v>376</v>
      </c>
    </row>
    <row r="28" spans="2:8" x14ac:dyDescent="0.5">
      <c r="B28">
        <v>14</v>
      </c>
      <c r="C28" t="s">
        <v>446</v>
      </c>
      <c r="D28" t="s">
        <v>447</v>
      </c>
      <c r="E28" s="164" t="s">
        <v>448</v>
      </c>
      <c r="F28" s="185" t="s">
        <v>366</v>
      </c>
      <c r="H28" s="22" t="s">
        <v>376</v>
      </c>
    </row>
    <row r="29" spans="2:8" x14ac:dyDescent="0.5">
      <c r="B29">
        <v>15</v>
      </c>
      <c r="C29" t="s">
        <v>449</v>
      </c>
      <c r="D29" t="s">
        <v>449</v>
      </c>
      <c r="E29" s="164" t="s">
        <v>450</v>
      </c>
      <c r="F29" s="185" t="s">
        <v>402</v>
      </c>
      <c r="H29" s="22" t="s">
        <v>451</v>
      </c>
    </row>
    <row r="30" spans="2:8" x14ac:dyDescent="0.5">
      <c r="B30">
        <v>16</v>
      </c>
      <c r="C30" t="s">
        <v>452</v>
      </c>
      <c r="D30" t="s">
        <v>400</v>
      </c>
      <c r="E30" s="164" t="s">
        <v>453</v>
      </c>
      <c r="F30" s="185" t="s">
        <v>402</v>
      </c>
      <c r="H30" s="22" t="s">
        <v>454</v>
      </c>
    </row>
    <row r="31" spans="2:8" x14ac:dyDescent="0.5">
      <c r="B31">
        <v>17</v>
      </c>
      <c r="C31" t="s">
        <v>455</v>
      </c>
      <c r="D31" t="s">
        <v>456</v>
      </c>
      <c r="E31" s="164" t="s">
        <v>457</v>
      </c>
      <c r="F31" s="185" t="s">
        <v>342</v>
      </c>
      <c r="H31" s="22" t="s">
        <v>403</v>
      </c>
    </row>
    <row r="32" spans="2:8" x14ac:dyDescent="0.5">
      <c r="B32">
        <v>18</v>
      </c>
      <c r="C32" t="s">
        <v>405</v>
      </c>
      <c r="D32" t="s">
        <v>336</v>
      </c>
      <c r="E32" s="164" t="s">
        <v>406</v>
      </c>
      <c r="F32" s="99" t="s">
        <v>407</v>
      </c>
      <c r="H32" s="22" t="s">
        <v>376</v>
      </c>
    </row>
    <row r="33" spans="1:11" x14ac:dyDescent="0.5">
      <c r="E33" s="164"/>
      <c r="F33" s="185"/>
    </row>
    <row r="34" spans="1:11" x14ac:dyDescent="0.5">
      <c r="A34" s="68" t="s">
        <v>319</v>
      </c>
    </row>
    <row r="35" spans="1:11" ht="14.7" thickBot="1" x14ac:dyDescent="0.55000000000000004">
      <c r="A35" s="68" t="s">
        <v>320</v>
      </c>
    </row>
    <row r="36" spans="1:11" x14ac:dyDescent="0.5">
      <c r="A36" s="3" t="s">
        <v>321</v>
      </c>
      <c r="B36" s="4"/>
      <c r="C36" s="4">
        <v>2016</v>
      </c>
      <c r="D36" s="29">
        <v>2020</v>
      </c>
      <c r="E36" s="4">
        <v>2023</v>
      </c>
      <c r="F36" s="29">
        <v>2025</v>
      </c>
      <c r="G36" s="29">
        <v>2030</v>
      </c>
      <c r="H36" s="4">
        <v>2033</v>
      </c>
      <c r="I36" s="4" t="s">
        <v>59</v>
      </c>
      <c r="J36" s="16" t="s">
        <v>322</v>
      </c>
      <c r="K36" s="4" t="s">
        <v>323</v>
      </c>
    </row>
    <row r="37" spans="1:11" x14ac:dyDescent="0.5">
      <c r="B37" s="3" t="s">
        <v>267</v>
      </c>
      <c r="C37" s="32">
        <f>C4</f>
        <v>577.5</v>
      </c>
      <c r="D37" s="54">
        <f>$C37*(1-$J37)^(D$36-$C$36)</f>
        <v>473.95593861057722</v>
      </c>
      <c r="E37" s="39"/>
      <c r="F37" s="54">
        <f>$C37*(1-$J37)^(F$36-$C$36)</f>
        <v>370.22900956172231</v>
      </c>
      <c r="G37" s="58">
        <f>225*Financials!D5</f>
        <v>289.20308483290489</v>
      </c>
      <c r="H37" s="38"/>
      <c r="I37" t="s">
        <v>268</v>
      </c>
      <c r="J37" s="168">
        <f>1-(G37/C37)^(1/(G$36-C$36))</f>
        <v>4.8198258289796847E-2</v>
      </c>
      <c r="K37" s="44"/>
    </row>
    <row r="38" spans="1:11" x14ac:dyDescent="0.5">
      <c r="B38" s="3" t="s">
        <v>269</v>
      </c>
      <c r="C38" s="32">
        <f>C5</f>
        <v>0</v>
      </c>
      <c r="D38" s="54">
        <f>$C38*(1-$J38)^(D$36-$C$36)</f>
        <v>0</v>
      </c>
      <c r="E38" s="39"/>
      <c r="F38" s="54">
        <f>$C38*(1-$J38)^(F$36-$C$36)</f>
        <v>0</v>
      </c>
      <c r="G38" s="58">
        <f>50*Financials!D5</f>
        <v>64.267352185089976</v>
      </c>
      <c r="H38" s="38"/>
      <c r="I38" t="s">
        <v>61</v>
      </c>
      <c r="J38" s="168">
        <v>0</v>
      </c>
      <c r="K38" s="44"/>
    </row>
    <row r="39" spans="1:11" x14ac:dyDescent="0.5">
      <c r="B39" s="3" t="s">
        <v>259</v>
      </c>
      <c r="C39">
        <f>C6</f>
        <v>2500</v>
      </c>
      <c r="D39" s="54">
        <f>$C39*(1-$J39)^(D$36-$C$36)</f>
        <v>3284.7613532396608</v>
      </c>
      <c r="E39" s="39"/>
      <c r="F39" s="54">
        <f>$C39*(1-$J39)^(F$36-$C$36)</f>
        <v>4620.7086898069874</v>
      </c>
      <c r="G39" s="58">
        <v>6500</v>
      </c>
      <c r="H39" s="40"/>
      <c r="I39" t="s">
        <v>105</v>
      </c>
      <c r="J39" s="168">
        <f>1-(G39/C39)^(1/(G$36-C$36))</f>
        <v>-7.0633808502476469E-2</v>
      </c>
      <c r="K39" s="44"/>
    </row>
    <row r="40" spans="1:11" x14ac:dyDescent="0.5">
      <c r="B40" s="3" t="s">
        <v>260</v>
      </c>
      <c r="C40">
        <f>C7</f>
        <v>12</v>
      </c>
      <c r="D40" s="54">
        <f>$C40*(1-$J40)^(D$36-$C$36)</f>
        <v>13.885662430941007</v>
      </c>
      <c r="E40" s="39"/>
      <c r="F40" s="54">
        <f>$C40*(1-$J40)^(F$36-$C$36)</f>
        <v>16.66473067945654</v>
      </c>
      <c r="G40" s="58">
        <v>20</v>
      </c>
      <c r="H40" s="40"/>
      <c r="I40" t="s">
        <v>64</v>
      </c>
      <c r="J40" s="168">
        <f>1-(G40/C40)^(1/(G$36-C$36))</f>
        <v>-3.716138563040583E-2</v>
      </c>
      <c r="K40" s="44"/>
    </row>
    <row r="41" spans="1:11" ht="14.7" thickBot="1" x14ac:dyDescent="0.55000000000000004">
      <c r="B41" s="5" t="s">
        <v>65</v>
      </c>
      <c r="C41" s="6">
        <f>C8</f>
        <v>86</v>
      </c>
      <c r="D41" s="55">
        <f>$C41*(1-$J41)^(D$36-$C$36)</f>
        <v>86.84667211967799</v>
      </c>
      <c r="E41" s="41"/>
      <c r="F41" s="55">
        <f>$C41*(1-$J41)^(F$36-$C$36)</f>
        <v>87.916743676340417</v>
      </c>
      <c r="G41" s="59">
        <v>89</v>
      </c>
      <c r="H41" s="42"/>
      <c r="I41" s="6" t="s">
        <v>66</v>
      </c>
      <c r="J41" s="169">
        <f>1-(G41/C41)^(1/(G$36-C$36))</f>
        <v>-2.4522213225306455E-3</v>
      </c>
      <c r="K41" s="166"/>
    </row>
    <row r="42" spans="1:11" ht="14.7" thickBot="1" x14ac:dyDescent="0.55000000000000004">
      <c r="J42" s="168"/>
      <c r="K42" s="44"/>
    </row>
    <row r="43" spans="1:11" x14ac:dyDescent="0.5">
      <c r="A43" s="3" t="s">
        <v>325</v>
      </c>
      <c r="B43" s="4"/>
      <c r="C43" s="4">
        <v>2016</v>
      </c>
      <c r="D43" s="29">
        <v>2020</v>
      </c>
      <c r="E43" s="4">
        <v>2023</v>
      </c>
      <c r="F43" s="29">
        <v>2025</v>
      </c>
      <c r="G43" s="29">
        <v>2030</v>
      </c>
      <c r="H43" s="4">
        <v>2033</v>
      </c>
      <c r="I43" s="4" t="s">
        <v>59</v>
      </c>
      <c r="J43" s="170"/>
      <c r="K43" s="167"/>
    </row>
    <row r="44" spans="1:11" x14ac:dyDescent="0.5">
      <c r="B44" s="3" t="s">
        <v>267</v>
      </c>
      <c r="C44" s="32">
        <f>C4</f>
        <v>577.5</v>
      </c>
      <c r="D44" s="54">
        <f>$C44*(1-$J44)^(D$36-$C$36)</f>
        <v>510.12701089986979</v>
      </c>
      <c r="E44" s="32">
        <f>350*Financials!D7</f>
        <v>464.80743691899067</v>
      </c>
      <c r="F44" s="54">
        <f>$E44*(1-$K44)^(F$36-$E$36)</f>
        <v>442.92072084066979</v>
      </c>
      <c r="G44" s="54">
        <f>$E44*(1-$K44)^(G$36-$E$36)</f>
        <v>392.60725690569524</v>
      </c>
      <c r="H44" s="32">
        <f>275*Financials!D7</f>
        <v>365.20584329349265</v>
      </c>
      <c r="I44" t="s">
        <v>268</v>
      </c>
      <c r="J44" s="168">
        <f>1-(E44/C44)^(1/(E$36-C$36))</f>
        <v>3.0536231841801875E-2</v>
      </c>
      <c r="K44" s="44">
        <f>1-(H44/E44)^(1/(H$36-E$36))</f>
        <v>2.3827733597007295E-2</v>
      </c>
    </row>
    <row r="45" spans="1:11" x14ac:dyDescent="0.5">
      <c r="B45" s="3" t="s">
        <v>269</v>
      </c>
      <c r="C45" s="32">
        <f>C5</f>
        <v>0</v>
      </c>
      <c r="D45" s="63"/>
      <c r="E45" s="39"/>
      <c r="F45" s="63"/>
      <c r="G45" s="63"/>
      <c r="H45" s="39"/>
      <c r="I45" t="s">
        <v>61</v>
      </c>
      <c r="J45" s="168"/>
      <c r="K45" s="44"/>
    </row>
    <row r="46" spans="1:11" x14ac:dyDescent="0.5">
      <c r="B46" s="3" t="s">
        <v>259</v>
      </c>
      <c r="C46">
        <f>C6</f>
        <v>2500</v>
      </c>
      <c r="D46" s="63"/>
      <c r="E46" s="39"/>
      <c r="F46" s="63"/>
      <c r="G46" s="63"/>
      <c r="H46" s="40"/>
      <c r="I46" t="s">
        <v>105</v>
      </c>
      <c r="J46" s="168"/>
      <c r="K46" s="44"/>
    </row>
    <row r="47" spans="1:11" x14ac:dyDescent="0.5">
      <c r="B47" s="3" t="s">
        <v>260</v>
      </c>
      <c r="C47">
        <f>C7</f>
        <v>12</v>
      </c>
      <c r="D47" s="54">
        <f>$C47*(1-$J47)^(D$36-$C$36)</f>
        <v>13.631962927172319</v>
      </c>
      <c r="E47" s="32">
        <v>15</v>
      </c>
      <c r="F47" s="54">
        <f>$E47*(1-$K47)^(F$36-$E$36)</f>
        <v>15.888357615732186</v>
      </c>
      <c r="G47" s="54">
        <f>$E47*(1-$K47)^(G$36-$E$36)</f>
        <v>18.346295092848042</v>
      </c>
      <c r="H47">
        <v>20</v>
      </c>
      <c r="I47" t="s">
        <v>64</v>
      </c>
      <c r="J47" s="168">
        <f>1-(E47/C47)^(1/(E$36-C$36))</f>
        <v>-3.2391184710001797E-2</v>
      </c>
      <c r="K47" s="44">
        <f>1-(H47/E47)^(1/(H$36-E$36))</f>
        <v>-2.9186008964760646E-2</v>
      </c>
    </row>
    <row r="48" spans="1:11" ht="14.7" thickBot="1" x14ac:dyDescent="0.55000000000000004">
      <c r="B48" s="5" t="s">
        <v>65</v>
      </c>
      <c r="C48" s="6">
        <f>C8</f>
        <v>86</v>
      </c>
      <c r="D48" s="55">
        <f>$C48*(1-$J48)^(D$36-$C$36)</f>
        <v>88.263423838137612</v>
      </c>
      <c r="E48" s="33">
        <v>90</v>
      </c>
      <c r="F48" s="55">
        <f>$E48*(1-$K48)^(F$36-$E$36)</f>
        <v>90</v>
      </c>
      <c r="G48" s="55">
        <f>$E48*(1-$K48)^(G$36-$E$36)</f>
        <v>90</v>
      </c>
      <c r="H48" s="6">
        <v>90</v>
      </c>
      <c r="I48" s="6" t="s">
        <v>66</v>
      </c>
      <c r="J48" s="169">
        <f>1-(E48/C48)^(1/(E$36-C$36))</f>
        <v>-6.5157606758028397E-3</v>
      </c>
      <c r="K48" s="166">
        <f>1-(H48/E48)^(1/(H$36-E$36))</f>
        <v>0</v>
      </c>
    </row>
    <row r="49" spans="1:11" ht="14.7" thickBot="1" x14ac:dyDescent="0.55000000000000004">
      <c r="J49" s="168"/>
      <c r="K49" s="44"/>
    </row>
    <row r="50" spans="1:11" x14ac:dyDescent="0.5">
      <c r="A50" s="3" t="s">
        <v>326</v>
      </c>
      <c r="B50" s="4"/>
      <c r="C50" s="4">
        <v>2016</v>
      </c>
      <c r="D50" s="29">
        <v>2020</v>
      </c>
      <c r="E50" s="4">
        <v>2023</v>
      </c>
      <c r="F50" s="29">
        <v>2025</v>
      </c>
      <c r="G50" s="29">
        <v>2030</v>
      </c>
      <c r="H50" s="4">
        <v>2033</v>
      </c>
      <c r="I50" s="4" t="s">
        <v>59</v>
      </c>
      <c r="J50" s="170"/>
      <c r="K50" s="167"/>
    </row>
    <row r="51" spans="1:11" x14ac:dyDescent="0.5">
      <c r="B51" s="3" t="s">
        <v>267</v>
      </c>
      <c r="C51" s="32">
        <f>C4</f>
        <v>577.5</v>
      </c>
      <c r="D51" s="58">
        <f>180*Financials!D8</f>
        <v>199.77802441731407</v>
      </c>
      <c r="E51" s="39"/>
      <c r="F51" s="58">
        <f>145*Financials!D8</f>
        <v>160.9322974472808</v>
      </c>
      <c r="G51" s="65">
        <f>$D51*(1-$K51)^(G$36-$D$36)</f>
        <v>129.63990627697618</v>
      </c>
      <c r="H51" s="39"/>
      <c r="I51" t="s">
        <v>268</v>
      </c>
      <c r="J51" s="168">
        <f>1-(G51/C51)^(1/(G$36-C$36))</f>
        <v>0.10121421670007325</v>
      </c>
      <c r="K51" s="44">
        <f>1-(F51/D51)^(1/(F$36-D$36))</f>
        <v>4.2322907181576386E-2</v>
      </c>
    </row>
    <row r="52" spans="1:11" x14ac:dyDescent="0.5">
      <c r="B52" s="3" t="s">
        <v>269</v>
      </c>
      <c r="C52" s="32">
        <f>C5</f>
        <v>0</v>
      </c>
      <c r="D52" s="63"/>
      <c r="E52" s="39"/>
      <c r="F52" s="63"/>
      <c r="G52" s="63"/>
      <c r="H52" s="39"/>
      <c r="I52" t="s">
        <v>61</v>
      </c>
      <c r="J52" s="168" t="e">
        <f>1-(G52/C52)^(1/(G$36-C$36))</f>
        <v>#DIV/0!</v>
      </c>
      <c r="K52" s="44"/>
    </row>
    <row r="53" spans="1:11" x14ac:dyDescent="0.5">
      <c r="B53" s="3" t="s">
        <v>259</v>
      </c>
      <c r="C53">
        <f>C6</f>
        <v>2500</v>
      </c>
      <c r="D53" s="58">
        <v>6500</v>
      </c>
      <c r="E53" s="39"/>
      <c r="F53" s="54">
        <f>$D53*(1-$K53)^(F$36-$D$36)</f>
        <v>6500</v>
      </c>
      <c r="G53" s="58">
        <v>6500</v>
      </c>
      <c r="H53" s="40"/>
      <c r="I53" t="s">
        <v>105</v>
      </c>
      <c r="J53" s="168">
        <f>1-(G53/C53)^(1/(G$36-C$36))</f>
        <v>-7.0633808502476469E-2</v>
      </c>
      <c r="K53" s="44">
        <f>1-(G53/D53)^(1/(G$36-D$36))</f>
        <v>0</v>
      </c>
    </row>
    <row r="54" spans="1:11" x14ac:dyDescent="0.5">
      <c r="B54" s="3" t="s">
        <v>260</v>
      </c>
      <c r="C54">
        <f>C7</f>
        <v>12</v>
      </c>
      <c r="D54" s="58">
        <v>20</v>
      </c>
      <c r="E54" s="39"/>
      <c r="F54" s="54">
        <f>$D54*(1-$K54)^(F$36-$D$36)</f>
        <v>20</v>
      </c>
      <c r="G54" s="58">
        <v>20</v>
      </c>
      <c r="H54" s="40"/>
      <c r="I54" t="s">
        <v>64</v>
      </c>
      <c r="J54" s="168">
        <f>1-(G54/C54)^(1/(G$36-C$36))</f>
        <v>-3.716138563040583E-2</v>
      </c>
      <c r="K54" s="44">
        <f>1-(G54/D54)^(1/(G$36-D$36))</f>
        <v>0</v>
      </c>
    </row>
    <row r="55" spans="1:11" ht="14.7" thickBot="1" x14ac:dyDescent="0.55000000000000004">
      <c r="B55" s="5" t="s">
        <v>65</v>
      </c>
      <c r="C55" s="34">
        <f>C8</f>
        <v>86</v>
      </c>
      <c r="D55" s="64">
        <v>87.5</v>
      </c>
      <c r="E55" s="43"/>
      <c r="F55" s="61">
        <f>$D55*(1-$K55)^(F$36-$D$36)</f>
        <v>87.5</v>
      </c>
      <c r="G55" s="64">
        <v>87.5</v>
      </c>
      <c r="H55" s="43"/>
      <c r="I55" s="6" t="s">
        <v>66</v>
      </c>
      <c r="J55" s="169">
        <f>1-(G55/C55)^(1/(G$36-C$36))</f>
        <v>-1.2358699951258156E-3</v>
      </c>
      <c r="K55" s="166">
        <f>1-(G55/D55)^(1/(G$36-D$36))</f>
        <v>0</v>
      </c>
    </row>
    <row r="56" spans="1:11" ht="14.7" thickBot="1" x14ac:dyDescent="0.55000000000000004">
      <c r="B56" s="3"/>
      <c r="C56" s="32"/>
      <c r="D56" s="32"/>
      <c r="E56" s="32"/>
      <c r="F56" s="37"/>
      <c r="G56" s="37"/>
    </row>
    <row r="57" spans="1:11" x14ac:dyDescent="0.5">
      <c r="A57" s="3" t="s">
        <v>327</v>
      </c>
      <c r="B57" s="4"/>
      <c r="C57" s="4">
        <v>2016</v>
      </c>
      <c r="D57" s="29">
        <v>2020</v>
      </c>
      <c r="E57" s="4">
        <v>2023</v>
      </c>
      <c r="F57" s="29">
        <v>2025</v>
      </c>
      <c r="G57" s="29">
        <v>2030</v>
      </c>
      <c r="H57" s="4">
        <v>2050</v>
      </c>
      <c r="I57" s="4" t="s">
        <v>59</v>
      </c>
      <c r="J57" s="170"/>
      <c r="K57" s="167"/>
    </row>
    <row r="58" spans="1:11" x14ac:dyDescent="0.5">
      <c r="B58" s="3" t="s">
        <v>267</v>
      </c>
      <c r="C58" s="32">
        <f>C4</f>
        <v>577.5</v>
      </c>
      <c r="D58" s="54">
        <f>$C58*(1-$J58)^(D$36-$C$36)</f>
        <v>524.05100076205349</v>
      </c>
      <c r="E58" s="32">
        <f>439*Financials!D8</f>
        <v>487.23640399556047</v>
      </c>
      <c r="F58" s="54">
        <f>$E58*(1-$K58)^(F$57-$E$57)</f>
        <v>473.09830885362516</v>
      </c>
      <c r="G58" s="54">
        <f>$E58*(1-$K58)^(G$57-$E$57)</f>
        <v>439.52194251350539</v>
      </c>
      <c r="H58" s="32">
        <f>295*Financials!D8</f>
        <v>327.41398446170922</v>
      </c>
      <c r="I58" t="s">
        <v>268</v>
      </c>
      <c r="J58" s="168">
        <f t="shared" ref="J58:J61" si="1">1-(E58/C58)^(1/(E$57-C$57))</f>
        <v>2.3987473651693625E-2</v>
      </c>
      <c r="K58" s="44">
        <f t="shared" ref="K58:K61" si="2">1-(H58/E58)^(1/(H$57-E$57))</f>
        <v>1.4615258150648458E-2</v>
      </c>
    </row>
    <row r="59" spans="1:11" x14ac:dyDescent="0.5">
      <c r="B59" s="3" t="s">
        <v>269</v>
      </c>
      <c r="C59" s="32">
        <f>C5</f>
        <v>0</v>
      </c>
      <c r="D59" s="63"/>
      <c r="E59" s="39"/>
      <c r="F59" s="63"/>
      <c r="G59" s="63"/>
      <c r="H59" s="39"/>
      <c r="I59" t="s">
        <v>61</v>
      </c>
      <c r="J59" s="168"/>
      <c r="K59" s="44"/>
    </row>
    <row r="60" spans="1:11" x14ac:dyDescent="0.5">
      <c r="B60" s="3" t="s">
        <v>259</v>
      </c>
      <c r="C60">
        <f>C6</f>
        <v>2500</v>
      </c>
      <c r="D60" s="54">
        <f>$C60*(1-$J60)^(D$36-$C$36)</f>
        <v>4502.5535191993586</v>
      </c>
      <c r="E60" s="32">
        <v>7000</v>
      </c>
      <c r="F60" s="54">
        <f t="shared" ref="F60:G62" si="3">$E60*(1-$K60)^(F$57-$E$57)</f>
        <v>7285.1338713304003</v>
      </c>
      <c r="G60" s="54">
        <f t="shared" si="3"/>
        <v>8049.8220257098674</v>
      </c>
      <c r="H60">
        <v>12000</v>
      </c>
      <c r="I60" t="s">
        <v>105</v>
      </c>
      <c r="J60" s="168">
        <f t="shared" si="1"/>
        <v>-0.15845646818597281</v>
      </c>
      <c r="K60" s="44">
        <f t="shared" si="2"/>
        <v>-2.0163423275926462E-2</v>
      </c>
    </row>
    <row r="61" spans="1:11" x14ac:dyDescent="0.5">
      <c r="B61" s="3" t="s">
        <v>260</v>
      </c>
      <c r="C61">
        <f>C7</f>
        <v>12</v>
      </c>
      <c r="D61" s="54">
        <f>$C61*(1-$J61)^(D$36-$C$36)</f>
        <v>14.642657957273107</v>
      </c>
      <c r="E61" s="37">
        <v>17</v>
      </c>
      <c r="F61" s="54">
        <f t="shared" si="3"/>
        <v>17.439837203603965</v>
      </c>
      <c r="G61" s="54">
        <f t="shared" si="3"/>
        <v>18.589863017514233</v>
      </c>
      <c r="H61">
        <v>24</v>
      </c>
      <c r="I61" t="s">
        <v>64</v>
      </c>
      <c r="J61" s="168">
        <f t="shared" si="1"/>
        <v>-5.1016823792615185E-2</v>
      </c>
      <c r="K61" s="44">
        <f t="shared" si="2"/>
        <v>-1.2853778530043325E-2</v>
      </c>
    </row>
    <row r="62" spans="1:11" ht="14.7" thickBot="1" x14ac:dyDescent="0.55000000000000004">
      <c r="B62" s="5" t="s">
        <v>65</v>
      </c>
      <c r="C62" s="34">
        <f>C8</f>
        <v>86</v>
      </c>
      <c r="D62" s="55">
        <f>$C62*(1-$J62)^(D$36-$C$36)</f>
        <v>86.570012574727286</v>
      </c>
      <c r="E62" s="34">
        <v>87</v>
      </c>
      <c r="F62" s="55">
        <f t="shared" si="3"/>
        <v>87.218751218274875</v>
      </c>
      <c r="G62" s="55">
        <f t="shared" si="3"/>
        <v>87.768038645537743</v>
      </c>
      <c r="H62" s="34">
        <v>90</v>
      </c>
      <c r="I62" s="6" t="s">
        <v>66</v>
      </c>
      <c r="J62" s="169">
        <f>1-(E62/C62)^(1/(E$57-C$57))</f>
        <v>-1.6529106105904745E-3</v>
      </c>
      <c r="K62" s="166">
        <f>1-(H62/E62)^(1/(H$57-E$57))</f>
        <v>-1.2564016370888442E-3</v>
      </c>
    </row>
    <row r="63" spans="1:11" ht="14.7" thickBot="1" x14ac:dyDescent="0.55000000000000004">
      <c r="J63" s="168"/>
      <c r="K63" s="44"/>
    </row>
    <row r="64" spans="1:11" x14ac:dyDescent="0.5">
      <c r="A64" s="3" t="s">
        <v>345</v>
      </c>
      <c r="B64" s="4"/>
      <c r="C64" s="4">
        <v>2016</v>
      </c>
      <c r="D64" s="4">
        <v>2017</v>
      </c>
      <c r="E64" s="29">
        <v>2020</v>
      </c>
      <c r="F64" s="29">
        <v>2025</v>
      </c>
      <c r="G64" s="29">
        <v>2030</v>
      </c>
      <c r="H64" s="4"/>
      <c r="I64" s="4" t="s">
        <v>59</v>
      </c>
      <c r="J64" s="170"/>
      <c r="K64" s="167"/>
    </row>
    <row r="65" spans="1:11" x14ac:dyDescent="0.5">
      <c r="B65" s="3" t="s">
        <v>267</v>
      </c>
      <c r="C65" s="92">
        <f>C4</f>
        <v>577.5</v>
      </c>
      <c r="D65" s="92">
        <v>430</v>
      </c>
      <c r="E65" s="102">
        <v>440</v>
      </c>
      <c r="F65" s="65">
        <f>$E65*(1-$K65)^(F64-E64)</f>
        <v>313.20489173395504</v>
      </c>
      <c r="G65" s="65">
        <f>$E65*(1-$K65)^(G64-E64)</f>
        <v>222.94841865017844</v>
      </c>
      <c r="H65" s="172"/>
      <c r="I65" t="s">
        <v>268</v>
      </c>
      <c r="J65" s="168">
        <f>1-(D65/C65)^(1/(D64-C64))</f>
        <v>0.25541125541125542</v>
      </c>
      <c r="K65" s="44">
        <f>1-(E65/C65)^(1/(E64-C64))</f>
        <v>6.5724044543599813E-2</v>
      </c>
    </row>
    <row r="66" spans="1:11" x14ac:dyDescent="0.5">
      <c r="B66" s="3" t="s">
        <v>269</v>
      </c>
      <c r="C66" s="92">
        <f>C5</f>
        <v>0</v>
      </c>
      <c r="D66" s="172"/>
      <c r="E66" s="94"/>
      <c r="F66" s="94"/>
      <c r="G66" s="94"/>
      <c r="H66" s="95"/>
      <c r="I66" t="s">
        <v>61</v>
      </c>
      <c r="J66" s="168"/>
      <c r="K66" s="44"/>
    </row>
    <row r="67" spans="1:11" x14ac:dyDescent="0.5">
      <c r="B67" s="3" t="s">
        <v>259</v>
      </c>
      <c r="C67" s="92">
        <f>C6</f>
        <v>2500</v>
      </c>
      <c r="D67" s="95"/>
      <c r="E67" s="63"/>
      <c r="F67" s="63"/>
      <c r="G67" s="63"/>
      <c r="H67" s="40"/>
      <c r="I67" t="s">
        <v>105</v>
      </c>
      <c r="J67" s="168"/>
      <c r="K67" s="44"/>
    </row>
    <row r="68" spans="1:11" x14ac:dyDescent="0.5">
      <c r="B68" s="3" t="s">
        <v>260</v>
      </c>
      <c r="C68" s="92">
        <f>C7</f>
        <v>12</v>
      </c>
      <c r="D68" s="95"/>
      <c r="E68" s="63"/>
      <c r="F68" s="63"/>
      <c r="G68" s="63"/>
      <c r="H68" s="39"/>
      <c r="I68" t="s">
        <v>64</v>
      </c>
      <c r="J68" s="168"/>
      <c r="K68" s="44"/>
    </row>
    <row r="69" spans="1:11" ht="14.7" thickBot="1" x14ac:dyDescent="0.55000000000000004">
      <c r="B69" s="5" t="s">
        <v>65</v>
      </c>
      <c r="C69" s="93">
        <f>C8</f>
        <v>86</v>
      </c>
      <c r="D69" s="173"/>
      <c r="E69" s="67"/>
      <c r="F69" s="67"/>
      <c r="G69" s="67"/>
      <c r="H69" s="41"/>
      <c r="I69" s="6" t="s">
        <v>66</v>
      </c>
      <c r="J69" s="169"/>
      <c r="K69" s="166"/>
    </row>
    <row r="70" spans="1:11" ht="14.7" thickBot="1" x14ac:dyDescent="0.55000000000000004"/>
    <row r="71" spans="1:11" x14ac:dyDescent="0.5">
      <c r="A71" s="200" t="s">
        <v>367</v>
      </c>
      <c r="B71" s="4"/>
      <c r="C71" s="4">
        <v>2016</v>
      </c>
      <c r="D71" s="4">
        <v>2025</v>
      </c>
      <c r="E71" s="4">
        <v>2030</v>
      </c>
      <c r="F71" s="4" t="s">
        <v>59</v>
      </c>
      <c r="G71" s="170" t="s">
        <v>322</v>
      </c>
      <c r="H71" s="167" t="s">
        <v>323</v>
      </c>
    </row>
    <row r="72" spans="1:11" x14ac:dyDescent="0.5">
      <c r="A72" s="199"/>
      <c r="B72" s="3" t="s">
        <v>267</v>
      </c>
      <c r="C72" s="32">
        <f>C4</f>
        <v>577.5</v>
      </c>
      <c r="D72">
        <v>500</v>
      </c>
      <c r="E72" s="65">
        <f>D72*(1-G72)^(E71-D71)</f>
        <v>461.53244358759531</v>
      </c>
      <c r="F72" t="s">
        <v>268</v>
      </c>
      <c r="G72" s="168">
        <f>1-(D72/C72)^(1/($D$71-$C$71))</f>
        <v>1.5883652244211954E-2</v>
      </c>
      <c r="H72" s="44"/>
    </row>
    <row r="73" spans="1:11" x14ac:dyDescent="0.5">
      <c r="A73" s="199"/>
      <c r="B73" s="3" t="s">
        <v>269</v>
      </c>
      <c r="C73" s="32">
        <f>C5</f>
        <v>0</v>
      </c>
      <c r="D73" s="40"/>
      <c r="E73" s="40"/>
      <c r="F73" t="s">
        <v>61</v>
      </c>
      <c r="G73" s="168"/>
      <c r="H73" s="44"/>
    </row>
    <row r="74" spans="1:11" x14ac:dyDescent="0.5">
      <c r="A74" s="199"/>
      <c r="B74" s="3" t="s">
        <v>259</v>
      </c>
      <c r="C74" s="32">
        <f>C6</f>
        <v>2500</v>
      </c>
      <c r="D74">
        <v>4000</v>
      </c>
      <c r="E74" s="65">
        <f>D74*(1-G74)^(E71-D71)</f>
        <v>5193.4981552322697</v>
      </c>
      <c r="F74" t="s">
        <v>105</v>
      </c>
      <c r="G74" s="168">
        <f t="shared" ref="G74:G75" si="4">1-(D74/C74)^(1/($D$71-$C$71))</f>
        <v>-5.3610276890664554E-2</v>
      </c>
      <c r="H74" s="44"/>
    </row>
    <row r="75" spans="1:11" x14ac:dyDescent="0.5">
      <c r="A75" s="199"/>
      <c r="B75" s="3" t="s">
        <v>260</v>
      </c>
      <c r="C75" s="32">
        <f>C7</f>
        <v>12</v>
      </c>
      <c r="D75">
        <v>20</v>
      </c>
      <c r="E75" s="65">
        <f>D75*(1-G75)^(E71-D71)</f>
        <v>26.563133259479116</v>
      </c>
      <c r="F75" t="s">
        <v>64</v>
      </c>
      <c r="G75" s="168">
        <f t="shared" si="4"/>
        <v>-5.840007284126747E-2</v>
      </c>
      <c r="H75" s="44"/>
    </row>
    <row r="76" spans="1:11" ht="14.7" thickBot="1" x14ac:dyDescent="0.55000000000000004">
      <c r="A76" s="199"/>
      <c r="B76" s="5" t="s">
        <v>65</v>
      </c>
      <c r="C76" s="33">
        <f>C8</f>
        <v>86</v>
      </c>
      <c r="D76" s="43"/>
      <c r="E76" s="43"/>
      <c r="F76" s="6" t="s">
        <v>66</v>
      </c>
      <c r="G76" s="169"/>
      <c r="H76" s="166"/>
    </row>
    <row r="77" spans="1:11" ht="14.7" thickBot="1" x14ac:dyDescent="0.55000000000000004">
      <c r="A77" s="199"/>
    </row>
    <row r="78" spans="1:11" x14ac:dyDescent="0.5">
      <c r="A78" s="200" t="s">
        <v>368</v>
      </c>
      <c r="B78" s="4"/>
      <c r="C78" s="4">
        <v>2016</v>
      </c>
      <c r="D78" s="4">
        <v>2025</v>
      </c>
      <c r="E78" s="4">
        <v>2030</v>
      </c>
      <c r="F78" s="4" t="s">
        <v>59</v>
      </c>
      <c r="G78" s="4" t="s">
        <v>322</v>
      </c>
      <c r="H78" s="4" t="s">
        <v>323</v>
      </c>
    </row>
    <row r="79" spans="1:11" x14ac:dyDescent="0.5">
      <c r="A79" s="199"/>
      <c r="B79" s="3" t="s">
        <v>267</v>
      </c>
      <c r="C79" s="32">
        <f>C4</f>
        <v>577.5</v>
      </c>
      <c r="D79" s="38"/>
      <c r="E79" s="40"/>
      <c r="F79" s="190" t="s">
        <v>268</v>
      </c>
      <c r="H79" s="12"/>
    </row>
    <row r="80" spans="1:11" x14ac:dyDescent="0.5">
      <c r="A80" s="199"/>
      <c r="B80" s="3" t="s">
        <v>269</v>
      </c>
      <c r="C80" s="32">
        <f>C5</f>
        <v>0</v>
      </c>
      <c r="D80" s="38"/>
      <c r="E80" s="40"/>
      <c r="F80" s="115" t="s">
        <v>61</v>
      </c>
    </row>
    <row r="81" spans="1:9" x14ac:dyDescent="0.5">
      <c r="A81" s="199"/>
      <c r="B81" s="3" t="s">
        <v>259</v>
      </c>
      <c r="C81" s="32">
        <f>C6</f>
        <v>2500</v>
      </c>
      <c r="D81">
        <v>4500</v>
      </c>
      <c r="E81" s="65">
        <f>D81*(1-G81)^(E78-D78)</f>
        <v>6237.7874485028515</v>
      </c>
      <c r="F81" s="115" t="s">
        <v>105</v>
      </c>
      <c r="G81" s="44">
        <f>1-(D81/C81)^(1/($D$78-$C$78))</f>
        <v>-6.7489499388194485E-2</v>
      </c>
    </row>
    <row r="82" spans="1:9" x14ac:dyDescent="0.5">
      <c r="A82" s="199"/>
      <c r="B82" s="3" t="s">
        <v>260</v>
      </c>
      <c r="C82" s="32">
        <f>C7</f>
        <v>12</v>
      </c>
      <c r="D82">
        <v>12.5</v>
      </c>
      <c r="E82" s="65">
        <f>D82*(1-G82)^(E78-D78)</f>
        <v>12.786725086595851</v>
      </c>
      <c r="F82" s="115" t="s">
        <v>64</v>
      </c>
      <c r="G82" s="44">
        <f t="shared" ref="G82" si="5">1-(D82/C82)^(1/($D$78-$C$78))</f>
        <v>-4.5460793764635632E-3</v>
      </c>
    </row>
    <row r="83" spans="1:9" ht="14.7" thickBot="1" x14ac:dyDescent="0.55000000000000004">
      <c r="A83" s="199"/>
      <c r="B83" s="5" t="s">
        <v>65</v>
      </c>
      <c r="C83" s="33">
        <f>C8</f>
        <v>86</v>
      </c>
      <c r="D83" s="34">
        <v>94.5</v>
      </c>
      <c r="E83" s="34">
        <f>D83</f>
        <v>94.5</v>
      </c>
      <c r="F83" s="187" t="s">
        <v>66</v>
      </c>
      <c r="G83" s="166">
        <f>1-(D83/C83)^(1/($D$78-$C$78))</f>
        <v>-1.052753285019592E-2</v>
      </c>
      <c r="H83" s="34"/>
    </row>
    <row r="84" spans="1:9" ht="14.7" thickBot="1" x14ac:dyDescent="0.55000000000000004">
      <c r="A84" s="199"/>
    </row>
    <row r="85" spans="1:9" x14ac:dyDescent="0.5">
      <c r="A85" s="200" t="s">
        <v>408</v>
      </c>
      <c r="B85" s="4"/>
      <c r="C85" s="4">
        <v>2016</v>
      </c>
      <c r="D85" s="4">
        <v>2024</v>
      </c>
      <c r="E85" s="4">
        <v>2030</v>
      </c>
      <c r="F85" s="4" t="s">
        <v>59</v>
      </c>
      <c r="G85" s="170" t="s">
        <v>322</v>
      </c>
      <c r="H85" s="167" t="s">
        <v>323</v>
      </c>
    </row>
    <row r="86" spans="1:9" x14ac:dyDescent="0.5">
      <c r="B86" s="3" t="s">
        <v>267</v>
      </c>
      <c r="C86" s="32">
        <f>C4</f>
        <v>577.5</v>
      </c>
      <c r="D86" s="38"/>
      <c r="E86" s="40"/>
      <c r="F86" s="190" t="s">
        <v>268</v>
      </c>
      <c r="G86" s="168"/>
      <c r="H86" s="44"/>
    </row>
    <row r="87" spans="1:9" x14ac:dyDescent="0.5">
      <c r="B87" s="3" t="s">
        <v>269</v>
      </c>
      <c r="C87" s="32">
        <f>C5</f>
        <v>0</v>
      </c>
      <c r="D87" s="38"/>
      <c r="E87" s="40"/>
      <c r="F87" s="115" t="s">
        <v>61</v>
      </c>
      <c r="G87" s="168"/>
      <c r="H87" s="44"/>
    </row>
    <row r="88" spans="1:9" x14ac:dyDescent="0.5">
      <c r="B88" s="3" t="s">
        <v>259</v>
      </c>
      <c r="C88" s="191">
        <f>C6</f>
        <v>2500</v>
      </c>
      <c r="D88">
        <v>5750</v>
      </c>
      <c r="E88" s="65">
        <f>D88*(1-G88)^(E85-D85)</f>
        <v>10738.997016002895</v>
      </c>
      <c r="F88" s="115" t="s">
        <v>105</v>
      </c>
      <c r="G88" s="168">
        <f>1-(D88/C88)^(1/($D$85-$C$85))</f>
        <v>-0.10972655748341364</v>
      </c>
      <c r="H88" s="44"/>
    </row>
    <row r="89" spans="1:9" x14ac:dyDescent="0.5">
      <c r="B89" s="3" t="s">
        <v>260</v>
      </c>
      <c r="C89" s="191">
        <f>C7</f>
        <v>12</v>
      </c>
      <c r="D89">
        <v>7.5</v>
      </c>
      <c r="E89" s="192">
        <f>D89</f>
        <v>7.5</v>
      </c>
      <c r="F89" s="115" t="s">
        <v>64</v>
      </c>
      <c r="G89" s="168">
        <f t="shared" ref="G89" si="6">1-(D89/C89)^(1/($D$85-$C$85))</f>
        <v>5.705795245971701E-2</v>
      </c>
      <c r="H89" s="44"/>
    </row>
    <row r="90" spans="1:9" ht="14.7" thickBot="1" x14ac:dyDescent="0.55000000000000004">
      <c r="B90" s="5" t="s">
        <v>65</v>
      </c>
      <c r="C90" s="6">
        <f>C8</f>
        <v>86</v>
      </c>
      <c r="D90" s="43"/>
      <c r="E90" s="43"/>
      <c r="F90" s="187" t="s">
        <v>66</v>
      </c>
      <c r="G90" s="166"/>
      <c r="H90" s="166"/>
    </row>
    <row r="91" spans="1:9" ht="14.7" thickBot="1" x14ac:dyDescent="0.55000000000000004"/>
    <row r="92" spans="1:9" x14ac:dyDescent="0.5">
      <c r="A92" s="3" t="s">
        <v>409</v>
      </c>
      <c r="B92" s="4"/>
      <c r="C92" s="4">
        <v>2016</v>
      </c>
      <c r="D92" s="4">
        <v>2020</v>
      </c>
      <c r="E92" s="4">
        <v>2025</v>
      </c>
      <c r="F92" s="4">
        <v>2030</v>
      </c>
      <c r="G92" s="4" t="s">
        <v>59</v>
      </c>
      <c r="H92" s="16" t="s">
        <v>322</v>
      </c>
      <c r="I92" s="4" t="s">
        <v>323</v>
      </c>
    </row>
    <row r="93" spans="1:9" x14ac:dyDescent="0.5">
      <c r="B93" s="3" t="s">
        <v>267</v>
      </c>
      <c r="C93" s="92">
        <v>578</v>
      </c>
      <c r="D93" s="95"/>
      <c r="E93" s="95"/>
      <c r="F93" s="92">
        <v>224</v>
      </c>
      <c r="G93" t="s">
        <v>268</v>
      </c>
      <c r="H93" s="168">
        <f>1-(D93/C93)^(1/($D$88-$C$88))</f>
        <v>1</v>
      </c>
      <c r="I93" s="44"/>
    </row>
    <row r="94" spans="1:9" x14ac:dyDescent="0.5">
      <c r="B94" s="3" t="s">
        <v>269</v>
      </c>
      <c r="C94" s="92">
        <f>C5</f>
        <v>0</v>
      </c>
      <c r="D94" s="95"/>
      <c r="E94" s="95"/>
      <c r="F94" s="92"/>
      <c r="G94" t="s">
        <v>61</v>
      </c>
      <c r="H94" s="168"/>
      <c r="I94" s="44"/>
    </row>
    <row r="95" spans="1:9" x14ac:dyDescent="0.5">
      <c r="B95" s="3" t="s">
        <v>259</v>
      </c>
      <c r="C95" s="92">
        <v>2500</v>
      </c>
      <c r="D95" s="95"/>
      <c r="E95" s="95"/>
      <c r="F95" s="201">
        <v>4774</v>
      </c>
      <c r="G95" t="s">
        <v>105</v>
      </c>
      <c r="H95" s="168" t="s">
        <v>47</v>
      </c>
      <c r="I95" s="44"/>
    </row>
    <row r="96" spans="1:9" x14ac:dyDescent="0.5">
      <c r="B96" s="3" t="s">
        <v>260</v>
      </c>
      <c r="C96" s="92">
        <v>12</v>
      </c>
      <c r="D96" s="225"/>
      <c r="E96" s="225"/>
      <c r="F96" s="3">
        <v>18</v>
      </c>
      <c r="G96" t="s">
        <v>64</v>
      </c>
      <c r="H96" s="168"/>
      <c r="I96" s="44"/>
    </row>
    <row r="97" spans="1:10" ht="14.7" thickBot="1" x14ac:dyDescent="0.55000000000000004">
      <c r="B97" s="5" t="s">
        <v>65</v>
      </c>
      <c r="C97" s="93">
        <v>92</v>
      </c>
      <c r="D97" s="173"/>
      <c r="E97" s="173"/>
      <c r="F97" s="202">
        <v>94</v>
      </c>
      <c r="G97" s="187" t="s">
        <v>66</v>
      </c>
      <c r="H97" s="166"/>
      <c r="I97" s="166"/>
    </row>
    <row r="98" spans="1:10" ht="14.7" thickBot="1" x14ac:dyDescent="0.55000000000000004"/>
    <row r="99" spans="1:10" x14ac:dyDescent="0.5">
      <c r="A99" s="3" t="s">
        <v>411</v>
      </c>
      <c r="B99" s="4"/>
      <c r="C99" s="4">
        <v>2016</v>
      </c>
      <c r="D99" s="4">
        <v>2020</v>
      </c>
      <c r="E99" s="4">
        <v>2024</v>
      </c>
      <c r="F99" s="4">
        <v>2030</v>
      </c>
      <c r="G99" s="4" t="s">
        <v>59</v>
      </c>
      <c r="H99" s="16" t="s">
        <v>322</v>
      </c>
      <c r="I99" s="4" t="s">
        <v>323</v>
      </c>
      <c r="J99" s="4" t="s">
        <v>458</v>
      </c>
    </row>
    <row r="100" spans="1:10" x14ac:dyDescent="0.5">
      <c r="B100" s="3" t="s">
        <v>267</v>
      </c>
      <c r="C100" s="95"/>
      <c r="D100" s="95"/>
      <c r="E100" s="92">
        <v>115</v>
      </c>
      <c r="F100" s="95"/>
      <c r="G100" t="s">
        <v>268</v>
      </c>
      <c r="H100" s="168"/>
      <c r="I100" s="44"/>
      <c r="J100" t="s">
        <v>459</v>
      </c>
    </row>
    <row r="101" spans="1:10" x14ac:dyDescent="0.5">
      <c r="B101" s="3" t="s">
        <v>269</v>
      </c>
      <c r="C101" s="95"/>
      <c r="D101" s="95"/>
      <c r="E101" s="95"/>
      <c r="F101" s="40"/>
      <c r="G101" t="s">
        <v>61</v>
      </c>
      <c r="H101" s="168"/>
      <c r="I101" s="44"/>
    </row>
    <row r="102" spans="1:10" x14ac:dyDescent="0.5">
      <c r="B102" s="3" t="s">
        <v>259</v>
      </c>
      <c r="C102" s="95"/>
      <c r="D102" s="95"/>
      <c r="E102" s="95"/>
      <c r="F102" s="225"/>
      <c r="G102" t="s">
        <v>105</v>
      </c>
      <c r="H102" s="168" t="s">
        <v>47</v>
      </c>
      <c r="I102" s="44"/>
    </row>
    <row r="103" spans="1:10" x14ac:dyDescent="0.5">
      <c r="B103" s="3" t="s">
        <v>260</v>
      </c>
      <c r="C103" s="95"/>
      <c r="D103" s="225"/>
      <c r="E103" s="225"/>
      <c r="F103" s="40"/>
      <c r="G103" t="s">
        <v>64</v>
      </c>
      <c r="H103" s="168"/>
      <c r="I103" s="44"/>
    </row>
    <row r="104" spans="1:10" ht="14.7" thickBot="1" x14ac:dyDescent="0.55000000000000004">
      <c r="B104" s="5" t="s">
        <v>65</v>
      </c>
      <c r="C104" s="173"/>
      <c r="D104" s="173"/>
      <c r="E104" s="173"/>
      <c r="F104" s="173"/>
      <c r="G104" s="187" t="s">
        <v>66</v>
      </c>
      <c r="H104" s="166"/>
      <c r="I104" s="166"/>
      <c r="J104" s="166"/>
    </row>
    <row r="105" spans="1:10" ht="14.7" thickBot="1" x14ac:dyDescent="0.55000000000000004"/>
    <row r="106" spans="1:10" x14ac:dyDescent="0.5">
      <c r="A106" s="3" t="s">
        <v>460</v>
      </c>
      <c r="B106" s="4"/>
      <c r="C106" s="4">
        <v>2016</v>
      </c>
      <c r="D106" s="4">
        <v>2020</v>
      </c>
      <c r="E106" s="4">
        <v>2022</v>
      </c>
      <c r="F106" s="4">
        <v>2030</v>
      </c>
      <c r="G106" s="4" t="s">
        <v>59</v>
      </c>
      <c r="H106" s="16" t="s">
        <v>322</v>
      </c>
      <c r="I106" s="4" t="s">
        <v>323</v>
      </c>
      <c r="J106" s="4" t="s">
        <v>458</v>
      </c>
    </row>
    <row r="107" spans="1:10" x14ac:dyDescent="0.5">
      <c r="B107" s="3" t="s">
        <v>267</v>
      </c>
      <c r="C107" s="92">
        <f>C4</f>
        <v>577.5</v>
      </c>
      <c r="D107" s="95"/>
      <c r="E107" s="92">
        <v>482</v>
      </c>
      <c r="F107" s="92" t="s">
        <v>461</v>
      </c>
      <c r="G107" t="s">
        <v>268</v>
      </c>
      <c r="H107" s="168">
        <f>1-(D107/C107)^(1/($D$88-$C$88))</f>
        <v>1</v>
      </c>
      <c r="I107" s="44"/>
      <c r="J107" t="s">
        <v>462</v>
      </c>
    </row>
    <row r="108" spans="1:10" x14ac:dyDescent="0.5">
      <c r="B108" s="3" t="s">
        <v>269</v>
      </c>
      <c r="C108" s="92">
        <f>C5</f>
        <v>0</v>
      </c>
      <c r="D108" s="95"/>
      <c r="E108" s="95"/>
      <c r="F108" s="40"/>
      <c r="G108" t="s">
        <v>61</v>
      </c>
      <c r="H108" s="168"/>
      <c r="I108" s="44"/>
    </row>
    <row r="109" spans="1:10" x14ac:dyDescent="0.5">
      <c r="B109" s="3" t="s">
        <v>259</v>
      </c>
      <c r="C109" s="92">
        <f>C6</f>
        <v>2500</v>
      </c>
      <c r="D109" s="95"/>
      <c r="E109" s="95"/>
      <c r="F109" s="225"/>
      <c r="G109" t="s">
        <v>105</v>
      </c>
      <c r="H109" s="168" t="s">
        <v>47</v>
      </c>
      <c r="I109" s="44"/>
    </row>
    <row r="110" spans="1:10" x14ac:dyDescent="0.5">
      <c r="B110" s="3" t="s">
        <v>260</v>
      </c>
      <c r="C110" s="92">
        <f>C7</f>
        <v>12</v>
      </c>
      <c r="D110" s="225"/>
      <c r="E110" s="225"/>
      <c r="F110" s="40"/>
      <c r="G110" t="s">
        <v>64</v>
      </c>
      <c r="H110" s="168"/>
      <c r="I110" s="44"/>
    </row>
    <row r="111" spans="1:10" ht="14.7" thickBot="1" x14ac:dyDescent="0.55000000000000004">
      <c r="B111" s="5" t="s">
        <v>65</v>
      </c>
      <c r="C111" s="93">
        <f>C8</f>
        <v>86</v>
      </c>
      <c r="D111" s="173"/>
      <c r="E111" s="93">
        <v>85</v>
      </c>
      <c r="F111" s="173"/>
      <c r="G111" s="187" t="s">
        <v>66</v>
      </c>
      <c r="H111" s="166"/>
      <c r="I111" s="166"/>
      <c r="J111" s="166"/>
    </row>
    <row r="112" spans="1:10" ht="14.7" thickBot="1" x14ac:dyDescent="0.55000000000000004"/>
    <row r="113" spans="1:10" x14ac:dyDescent="0.5">
      <c r="A113" s="3" t="s">
        <v>463</v>
      </c>
      <c r="B113" s="4"/>
      <c r="C113" s="4">
        <v>2016</v>
      </c>
      <c r="D113" s="4">
        <v>2020</v>
      </c>
      <c r="E113" s="4">
        <v>2022</v>
      </c>
      <c r="F113" s="4">
        <v>2030</v>
      </c>
      <c r="G113" s="4" t="s">
        <v>59</v>
      </c>
      <c r="H113" s="16" t="s">
        <v>322</v>
      </c>
      <c r="I113" s="4" t="s">
        <v>323</v>
      </c>
      <c r="J113" s="3"/>
    </row>
    <row r="114" spans="1:10" x14ac:dyDescent="0.5">
      <c r="B114" s="3" t="s">
        <v>267</v>
      </c>
      <c r="C114" s="92">
        <f>C4</f>
        <v>577.5</v>
      </c>
      <c r="D114" s="95"/>
      <c r="E114" s="95"/>
      <c r="F114" s="92">
        <v>106.22</v>
      </c>
      <c r="G114" t="s">
        <v>268</v>
      </c>
      <c r="H114" s="168">
        <f>1-(D114/C114)^(1/($D$88-$C$88))</f>
        <v>1</v>
      </c>
      <c r="I114" s="44"/>
    </row>
    <row r="115" spans="1:10" x14ac:dyDescent="0.5">
      <c r="B115" s="3" t="s">
        <v>269</v>
      </c>
      <c r="C115" s="92">
        <f>C5</f>
        <v>0</v>
      </c>
      <c r="D115" s="95"/>
      <c r="E115" s="95"/>
      <c r="G115" t="s">
        <v>61</v>
      </c>
      <c r="H115" s="168"/>
      <c r="I115" s="44"/>
    </row>
    <row r="116" spans="1:10" x14ac:dyDescent="0.5">
      <c r="B116" s="3" t="s">
        <v>259</v>
      </c>
      <c r="C116" s="92">
        <f>C6</f>
        <v>2500</v>
      </c>
      <c r="D116" s="95"/>
      <c r="E116" s="95"/>
      <c r="F116" s="3">
        <v>2640</v>
      </c>
      <c r="G116" t="s">
        <v>105</v>
      </c>
      <c r="H116" s="168" t="s">
        <v>47</v>
      </c>
      <c r="I116" s="44"/>
    </row>
    <row r="117" spans="1:10" x14ac:dyDescent="0.5">
      <c r="B117" s="3" t="s">
        <v>260</v>
      </c>
      <c r="C117" s="92">
        <f>C7</f>
        <v>12</v>
      </c>
      <c r="D117" s="225"/>
      <c r="E117" s="225"/>
      <c r="F117" s="201">
        <v>16</v>
      </c>
      <c r="G117" t="s">
        <v>64</v>
      </c>
      <c r="H117" s="168"/>
      <c r="I117" s="44"/>
    </row>
    <row r="118" spans="1:10" ht="14.7" thickBot="1" x14ac:dyDescent="0.55000000000000004">
      <c r="B118" s="5" t="s">
        <v>65</v>
      </c>
      <c r="C118" s="93">
        <f>C8</f>
        <v>86</v>
      </c>
      <c r="D118" s="173"/>
      <c r="E118" s="173"/>
      <c r="F118" s="202">
        <v>85</v>
      </c>
      <c r="G118" s="187" t="s">
        <v>66</v>
      </c>
      <c r="H118" s="166"/>
      <c r="I118" s="166"/>
    </row>
    <row r="119" spans="1:10" ht="14.7" thickBot="1" x14ac:dyDescent="0.55000000000000004"/>
    <row r="120" spans="1:10" x14ac:dyDescent="0.5">
      <c r="A120" s="3" t="s">
        <v>413</v>
      </c>
      <c r="B120" s="4"/>
      <c r="C120" s="4">
        <v>2016</v>
      </c>
      <c r="D120" s="4">
        <v>2023</v>
      </c>
      <c r="E120" s="4">
        <v>2025</v>
      </c>
      <c r="F120" s="4">
        <v>2030</v>
      </c>
      <c r="G120" s="4" t="s">
        <v>59</v>
      </c>
      <c r="H120" s="16" t="s">
        <v>322</v>
      </c>
      <c r="I120" s="4" t="s">
        <v>323</v>
      </c>
      <c r="J120" s="3"/>
    </row>
    <row r="121" spans="1:10" x14ac:dyDescent="0.5">
      <c r="B121" s="3" t="s">
        <v>267</v>
      </c>
      <c r="C121" s="92">
        <f>C4</f>
        <v>577.5</v>
      </c>
      <c r="D121" s="92">
        <v>301.49</v>
      </c>
      <c r="E121" s="197">
        <f>D121*(1-H121)^($E$120-$D$120)</f>
        <v>250.39274829630995</v>
      </c>
      <c r="F121" s="197">
        <f>D121*(1-H121)^($F$120-$D$120)</f>
        <v>157.39605212121222</v>
      </c>
      <c r="G121" t="s">
        <v>268</v>
      </c>
      <c r="H121" s="168">
        <f>1-(D121/C121)^(1/($D$120-$C$120))</f>
        <v>8.8672621782236227E-2</v>
      </c>
      <c r="I121" s="44"/>
    </row>
    <row r="122" spans="1:10" x14ac:dyDescent="0.5">
      <c r="B122" s="3" t="s">
        <v>269</v>
      </c>
      <c r="C122" s="92">
        <f t="shared" ref="C122:C124" si="7">C5</f>
        <v>0</v>
      </c>
      <c r="D122" s="92">
        <f>1906.95-84.97-23.04</f>
        <v>1798.94</v>
      </c>
      <c r="E122" s="40"/>
      <c r="F122" s="95"/>
      <c r="G122" t="s">
        <v>61</v>
      </c>
      <c r="H122" s="168"/>
      <c r="I122" s="44"/>
    </row>
    <row r="123" spans="1:10" x14ac:dyDescent="0.5">
      <c r="B123" s="3" t="s">
        <v>259</v>
      </c>
      <c r="C123" s="92">
        <f t="shared" si="7"/>
        <v>2500</v>
      </c>
      <c r="D123" s="95"/>
      <c r="E123" s="40"/>
      <c r="F123" s="95"/>
      <c r="G123" t="s">
        <v>105</v>
      </c>
      <c r="H123" s="168"/>
      <c r="I123" s="44"/>
    </row>
    <row r="124" spans="1:10" x14ac:dyDescent="0.5">
      <c r="B124" s="3" t="s">
        <v>260</v>
      </c>
      <c r="C124" s="92">
        <f t="shared" si="7"/>
        <v>12</v>
      </c>
      <c r="D124" s="225"/>
      <c r="E124" s="40"/>
      <c r="F124" s="95"/>
      <c r="G124" t="s">
        <v>64</v>
      </c>
      <c r="H124" s="168"/>
      <c r="I124" s="44"/>
    </row>
    <row r="125" spans="1:10" ht="14.7" thickBot="1" x14ac:dyDescent="0.55000000000000004">
      <c r="B125" s="5" t="s">
        <v>65</v>
      </c>
      <c r="C125" s="93">
        <f>C8</f>
        <v>86</v>
      </c>
      <c r="D125" s="93">
        <v>85</v>
      </c>
      <c r="E125" s="173"/>
      <c r="F125" s="173"/>
      <c r="G125" s="187" t="s">
        <v>66</v>
      </c>
      <c r="H125" s="166"/>
      <c r="I125" s="166"/>
    </row>
    <row r="126" spans="1:10" ht="14.7" thickBot="1" x14ac:dyDescent="0.55000000000000004"/>
    <row r="127" spans="1:10" x14ac:dyDescent="0.5">
      <c r="A127" s="3" t="s">
        <v>464</v>
      </c>
      <c r="B127" s="4"/>
      <c r="C127" s="4">
        <v>2016</v>
      </c>
      <c r="D127" s="4">
        <v>2020</v>
      </c>
      <c r="E127" s="4">
        <v>2025</v>
      </c>
      <c r="F127" s="4">
        <v>2030</v>
      </c>
      <c r="G127" s="4" t="s">
        <v>59</v>
      </c>
      <c r="H127" s="16" t="s">
        <v>322</v>
      </c>
      <c r="I127" s="4" t="s">
        <v>323</v>
      </c>
      <c r="J127" s="3"/>
    </row>
    <row r="128" spans="1:10" x14ac:dyDescent="0.5">
      <c r="B128" s="3" t="s">
        <v>267</v>
      </c>
      <c r="C128" s="95"/>
      <c r="D128" s="95"/>
      <c r="E128" s="92" t="s">
        <v>465</v>
      </c>
      <c r="F128" s="95"/>
      <c r="G128" t="s">
        <v>268</v>
      </c>
      <c r="H128" s="168"/>
      <c r="I128" s="44"/>
    </row>
    <row r="129" spans="1:9" x14ac:dyDescent="0.5">
      <c r="B129" s="3" t="s">
        <v>269</v>
      </c>
      <c r="C129" s="95"/>
      <c r="D129" s="95"/>
      <c r="E129" s="95"/>
      <c r="F129" s="40"/>
      <c r="G129" t="s">
        <v>61</v>
      </c>
      <c r="H129" s="168"/>
      <c r="I129" s="44"/>
    </row>
    <row r="130" spans="1:9" x14ac:dyDescent="0.5">
      <c r="B130" s="3" t="s">
        <v>259</v>
      </c>
      <c r="C130" s="95"/>
      <c r="D130" s="95"/>
      <c r="E130" s="92" t="s">
        <v>466</v>
      </c>
      <c r="F130" s="40"/>
      <c r="G130" t="s">
        <v>105</v>
      </c>
      <c r="H130" s="168" t="s">
        <v>47</v>
      </c>
      <c r="I130" s="44"/>
    </row>
    <row r="131" spans="1:9" x14ac:dyDescent="0.5">
      <c r="B131" s="3" t="s">
        <v>260</v>
      </c>
      <c r="C131" s="95"/>
      <c r="D131" s="225"/>
      <c r="E131" s="225"/>
      <c r="F131" s="225"/>
      <c r="G131" t="s">
        <v>64</v>
      </c>
      <c r="H131" s="168"/>
      <c r="I131" s="44"/>
    </row>
    <row r="132" spans="1:9" ht="14.7" thickBot="1" x14ac:dyDescent="0.55000000000000004">
      <c r="B132" s="5" t="s">
        <v>65</v>
      </c>
      <c r="C132" s="173"/>
      <c r="D132" s="173"/>
      <c r="E132" s="93" t="s">
        <v>467</v>
      </c>
      <c r="F132" s="173"/>
      <c r="G132" s="187" t="s">
        <v>66</v>
      </c>
      <c r="H132" s="166"/>
      <c r="I132" s="166"/>
    </row>
    <row r="133" spans="1:9" ht="14.7" thickBot="1" x14ac:dyDescent="0.55000000000000004">
      <c r="B133" s="3"/>
      <c r="C133" s="92"/>
      <c r="D133" s="92"/>
      <c r="E133" s="92"/>
      <c r="F133" s="92"/>
      <c r="H133" s="44"/>
      <c r="I133" s="44"/>
    </row>
    <row r="134" spans="1:9" x14ac:dyDescent="0.5">
      <c r="A134" s="3" t="s">
        <v>468</v>
      </c>
      <c r="B134" s="4"/>
      <c r="C134" s="4">
        <v>2016</v>
      </c>
      <c r="D134" s="4">
        <v>2023</v>
      </c>
      <c r="E134" s="4">
        <v>2025</v>
      </c>
      <c r="F134" s="4">
        <v>2030</v>
      </c>
      <c r="G134" s="4" t="s">
        <v>59</v>
      </c>
      <c r="H134" s="16" t="s">
        <v>322</v>
      </c>
      <c r="I134" s="4" t="s">
        <v>323</v>
      </c>
    </row>
    <row r="135" spans="1:9" x14ac:dyDescent="0.5">
      <c r="B135" s="3" t="s">
        <v>267</v>
      </c>
      <c r="C135" s="92">
        <v>259</v>
      </c>
      <c r="D135" s="92">
        <v>111</v>
      </c>
      <c r="E135" s="92">
        <f>78</f>
        <v>78</v>
      </c>
      <c r="F135" s="95"/>
      <c r="G135" t="s">
        <v>268</v>
      </c>
      <c r="H135" s="168"/>
      <c r="I135" s="44"/>
    </row>
    <row r="136" spans="1:9" x14ac:dyDescent="0.5">
      <c r="B136" s="3" t="s">
        <v>269</v>
      </c>
      <c r="C136" s="95"/>
      <c r="D136" s="95"/>
      <c r="E136" s="95"/>
      <c r="F136" s="40"/>
      <c r="G136" t="s">
        <v>61</v>
      </c>
      <c r="H136" s="168"/>
      <c r="I136" s="44"/>
    </row>
    <row r="137" spans="1:9" x14ac:dyDescent="0.5">
      <c r="B137" s="3" t="s">
        <v>259</v>
      </c>
      <c r="C137" s="95"/>
      <c r="D137" s="95"/>
      <c r="E137" s="95"/>
      <c r="F137" s="40"/>
      <c r="G137" t="s">
        <v>105</v>
      </c>
      <c r="H137" s="168" t="s">
        <v>47</v>
      </c>
      <c r="I137" s="44"/>
    </row>
    <row r="138" spans="1:9" x14ac:dyDescent="0.5">
      <c r="B138" s="3" t="s">
        <v>260</v>
      </c>
      <c r="C138" s="95"/>
      <c r="D138" s="225"/>
      <c r="E138" s="225"/>
      <c r="F138" s="225"/>
      <c r="G138" t="s">
        <v>64</v>
      </c>
      <c r="H138" s="168"/>
      <c r="I138" s="44"/>
    </row>
    <row r="139" spans="1:9" ht="14.7" thickBot="1" x14ac:dyDescent="0.55000000000000004">
      <c r="B139" s="5" t="s">
        <v>65</v>
      </c>
      <c r="C139" s="173"/>
      <c r="D139" s="173"/>
      <c r="E139" s="173"/>
      <c r="F139" s="173"/>
      <c r="G139" s="187" t="s">
        <v>66</v>
      </c>
      <c r="H139" s="166"/>
      <c r="I139" s="166"/>
    </row>
    <row r="140" spans="1:9" ht="14.7" thickBot="1" x14ac:dyDescent="0.55000000000000004"/>
    <row r="141" spans="1:9" x14ac:dyDescent="0.5">
      <c r="A141" s="3" t="s">
        <v>469</v>
      </c>
      <c r="B141" s="4"/>
      <c r="C141" s="4">
        <v>2016</v>
      </c>
      <c r="D141" s="4">
        <v>2025</v>
      </c>
      <c r="E141" s="4">
        <v>2030</v>
      </c>
      <c r="F141" s="4" t="s">
        <v>59</v>
      </c>
      <c r="G141" s="16" t="s">
        <v>322</v>
      </c>
      <c r="H141" s="4" t="s">
        <v>323</v>
      </c>
    </row>
    <row r="142" spans="1:9" x14ac:dyDescent="0.5">
      <c r="B142" s="3" t="s">
        <v>267</v>
      </c>
      <c r="C142" s="92">
        <f>C4</f>
        <v>577.5</v>
      </c>
      <c r="D142" s="92">
        <v>195</v>
      </c>
      <c r="E142" s="65">
        <f>C142*(1-G142)^(E141-C141)</f>
        <v>106.67938735142026</v>
      </c>
      <c r="F142" t="s">
        <v>268</v>
      </c>
      <c r="G142" s="168">
        <f>1-(D142/C142)^(1/(D141-C141))</f>
        <v>0.11364197663791453</v>
      </c>
      <c r="H142" s="44"/>
    </row>
    <row r="143" spans="1:9" x14ac:dyDescent="0.5">
      <c r="B143" s="3" t="s">
        <v>269</v>
      </c>
      <c r="C143" s="92">
        <f>C5</f>
        <v>0</v>
      </c>
      <c r="D143" s="95"/>
      <c r="E143" s="40"/>
      <c r="F143" t="s">
        <v>61</v>
      </c>
      <c r="G143" s="168"/>
      <c r="H143" s="44"/>
    </row>
    <row r="144" spans="1:9" x14ac:dyDescent="0.5">
      <c r="B144" s="3" t="s">
        <v>259</v>
      </c>
      <c r="C144" s="92">
        <f>C6</f>
        <v>2500</v>
      </c>
      <c r="D144" s="95"/>
      <c r="E144" s="40"/>
      <c r="F144" t="s">
        <v>105</v>
      </c>
      <c r="G144" s="168" t="s">
        <v>47</v>
      </c>
      <c r="H144" s="44"/>
    </row>
    <row r="145" spans="1:9" x14ac:dyDescent="0.5">
      <c r="B145" s="3" t="s">
        <v>260</v>
      </c>
      <c r="C145" s="92">
        <f>C7</f>
        <v>12</v>
      </c>
      <c r="D145" s="225"/>
      <c r="E145" s="225"/>
      <c r="F145" t="s">
        <v>64</v>
      </c>
      <c r="G145" s="168"/>
      <c r="H145" s="44"/>
    </row>
    <row r="146" spans="1:9" ht="14.7" thickBot="1" x14ac:dyDescent="0.55000000000000004">
      <c r="B146" s="5" t="s">
        <v>65</v>
      </c>
      <c r="C146" s="93">
        <f>C8</f>
        <v>86</v>
      </c>
      <c r="D146" s="173"/>
      <c r="E146" s="173"/>
      <c r="F146" s="187" t="s">
        <v>66</v>
      </c>
      <c r="G146" s="166"/>
      <c r="H146" s="166"/>
    </row>
    <row r="147" spans="1:9" ht="14.7" thickBot="1" x14ac:dyDescent="0.55000000000000004"/>
    <row r="148" spans="1:9" x14ac:dyDescent="0.5">
      <c r="A148" s="3" t="s">
        <v>470</v>
      </c>
      <c r="B148" s="4"/>
      <c r="C148" s="4">
        <v>2016</v>
      </c>
      <c r="D148" s="4">
        <v>2023</v>
      </c>
      <c r="E148" s="29">
        <v>2025</v>
      </c>
      <c r="F148" s="29">
        <v>2030</v>
      </c>
      <c r="G148" s="4" t="s">
        <v>59</v>
      </c>
      <c r="H148" s="16" t="s">
        <v>322</v>
      </c>
      <c r="I148" s="4" t="s">
        <v>323</v>
      </c>
    </row>
    <row r="149" spans="1:9" x14ac:dyDescent="0.5">
      <c r="B149" s="3" t="s">
        <v>267</v>
      </c>
      <c r="C149" s="92">
        <f>C44</f>
        <v>577.5</v>
      </c>
      <c r="D149" s="95"/>
      <c r="E149" s="39"/>
      <c r="F149" s="39"/>
      <c r="G149" t="s">
        <v>268</v>
      </c>
      <c r="H149" s="168">
        <f>1-(E149/C149)^(1/(E148-C148))</f>
        <v>1</v>
      </c>
      <c r="I149" s="44"/>
    </row>
    <row r="150" spans="1:9" x14ac:dyDescent="0.5">
      <c r="B150" s="3" t="s">
        <v>269</v>
      </c>
      <c r="C150" s="92">
        <f>C45</f>
        <v>0</v>
      </c>
      <c r="D150" s="95"/>
      <c r="E150" s="95"/>
      <c r="F150" s="95"/>
      <c r="G150" t="s">
        <v>61</v>
      </c>
      <c r="H150" s="168"/>
      <c r="I150" s="44"/>
    </row>
    <row r="151" spans="1:9" x14ac:dyDescent="0.5">
      <c r="B151" s="3" t="s">
        <v>259</v>
      </c>
      <c r="C151" s="92">
        <f>C46</f>
        <v>2500</v>
      </c>
      <c r="D151" s="95"/>
      <c r="E151" s="95"/>
      <c r="F151" s="95"/>
      <c r="G151" t="s">
        <v>105</v>
      </c>
      <c r="H151" s="168" t="s">
        <v>47</v>
      </c>
      <c r="I151" s="44"/>
    </row>
    <row r="152" spans="1:9" x14ac:dyDescent="0.5">
      <c r="B152" s="3" t="s">
        <v>260</v>
      </c>
      <c r="C152" s="92">
        <f>C47</f>
        <v>12</v>
      </c>
      <c r="D152" s="95"/>
      <c r="E152" s="95"/>
      <c r="F152" s="95"/>
      <c r="G152" t="s">
        <v>64</v>
      </c>
      <c r="H152" s="168">
        <f>1-(D152/C152)^(1/(D148-C148))</f>
        <v>1</v>
      </c>
      <c r="I152" s="44"/>
    </row>
    <row r="153" spans="1:9" x14ac:dyDescent="0.5">
      <c r="B153" s="3" t="s">
        <v>65</v>
      </c>
      <c r="C153" s="92">
        <f>C48</f>
        <v>86</v>
      </c>
      <c r="D153" s="95"/>
      <c r="E153" s="95"/>
      <c r="F153" s="95"/>
      <c r="G153" t="s">
        <v>66</v>
      </c>
      <c r="H153" s="168"/>
      <c r="I153" s="44"/>
    </row>
    <row r="154" spans="1:9" ht="14.7" thickBot="1" x14ac:dyDescent="0.55000000000000004">
      <c r="B154" s="5" t="s">
        <v>51</v>
      </c>
      <c r="C154" s="173"/>
      <c r="D154" s="255" t="s">
        <v>414</v>
      </c>
      <c r="E154" s="173"/>
      <c r="F154" s="173"/>
      <c r="G154" s="6" t="s">
        <v>74</v>
      </c>
      <c r="H154" s="169"/>
      <c r="I154" s="166"/>
    </row>
  </sheetData>
  <phoneticPr fontId="22" type="noConversion"/>
  <hyperlinks>
    <hyperlink ref="E17" r:id="rId1" xr:uid="{D9001AA3-8382-4DE2-92A4-A4D6650CB4F3}"/>
    <hyperlink ref="E18" r:id="rId2" xr:uid="{EC053FE3-360A-432D-BF05-72F9A553668E}"/>
    <hyperlink ref="E19" r:id="rId3" xr:uid="{5AA74DBF-9581-48CA-AD04-6B3D6D2D9D61}"/>
    <hyperlink ref="E21" r:id="rId4" xr:uid="{B86984C1-B5C7-48B4-A1EB-B81BA6A4D708}"/>
    <hyperlink ref="E23" r:id="rId5" xr:uid="{8581F79A-5222-4393-9A87-71EF46B4A433}"/>
    <hyperlink ref="E31" r:id="rId6" xr:uid="{AF9F6168-A2E3-4F59-AB33-5745AE621C8E}"/>
    <hyperlink ref="E24" r:id="rId7" xr:uid="{4DAE8C56-76E5-4502-B38D-89B523A9C024}"/>
    <hyperlink ref="E25" r:id="rId8" xr:uid="{F63CDC02-E7EA-473B-BB6F-8A675020EB57}"/>
    <hyperlink ref="E26" r:id="rId9" xr:uid="{2FE1E66B-F3AC-4C49-8DDE-6876A5D52C1B}"/>
    <hyperlink ref="E27" r:id="rId10" xr:uid="{E9A261A5-C056-486E-AF8D-25A1C9F61A4C}"/>
    <hyperlink ref="E28" r:id="rId11" location="bib66" xr:uid="{C34A408D-1CFC-4F16-B599-5613ABA5471D}"/>
    <hyperlink ref="E29" r:id="rId12" display="https://www.eia.gov/analysis/studies/powerplants/capitalcost/pdf/capital_cost_AEO2025.pdf" xr:uid="{0CBE5327-DDED-498C-A5EF-5396D7A5C3B0}"/>
    <hyperlink ref="E15" r:id="rId13" xr:uid="{CE05C0C0-3C3F-48DC-9D5B-8D5A218B41FB}"/>
    <hyperlink ref="E32" r:id="rId14" xr:uid="{E35AE3F4-D9A0-4F77-AE94-07364F6172A2}"/>
  </hyperlinks>
  <pageMargins left="0.7" right="0.7" top="0.75" bottom="0.75" header="0.3" footer="0.3"/>
  <pageSetup paperSize="9" orientation="portrait" r:id="rId1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Tabelle23">
    <tabColor rgb="FFFFC000"/>
  </sheetPr>
  <dimension ref="B3:L18"/>
  <sheetViews>
    <sheetView workbookViewId="0">
      <selection activeCell="L17" sqref="L17"/>
    </sheetView>
  </sheetViews>
  <sheetFormatPr defaultColWidth="11.46875" defaultRowHeight="14.35" x14ac:dyDescent="0.5"/>
  <cols>
    <col min="2" max="2" width="27.64453125" bestFit="1" customWidth="1"/>
    <col min="12" max="12" width="20.17578125" bestFit="1" customWidth="1"/>
  </cols>
  <sheetData>
    <row r="3" spans="2:12" x14ac:dyDescent="0.5">
      <c r="C3" s="425">
        <v>2016</v>
      </c>
      <c r="D3" s="425"/>
      <c r="E3" s="425"/>
      <c r="F3" s="426">
        <v>2025</v>
      </c>
      <c r="G3" s="426"/>
      <c r="H3" s="426"/>
      <c r="I3" s="426">
        <v>2030</v>
      </c>
      <c r="J3" s="426"/>
      <c r="K3" s="426"/>
      <c r="L3" s="105"/>
    </row>
    <row r="4" spans="2:12" ht="18.350000000000001" thickBot="1" x14ac:dyDescent="0.65">
      <c r="B4" s="104" t="s">
        <v>471</v>
      </c>
      <c r="C4" s="106" t="s">
        <v>56</v>
      </c>
      <c r="D4" s="106" t="s">
        <v>57</v>
      </c>
      <c r="E4" s="106" t="s">
        <v>58</v>
      </c>
      <c r="F4" s="106" t="s">
        <v>56</v>
      </c>
      <c r="G4" s="106" t="s">
        <v>57</v>
      </c>
      <c r="H4" s="106" t="s">
        <v>58</v>
      </c>
      <c r="I4" s="106" t="s">
        <v>56</v>
      </c>
      <c r="J4" s="106" t="s">
        <v>57</v>
      </c>
      <c r="K4" s="106" t="s">
        <v>58</v>
      </c>
      <c r="L4" s="106" t="s">
        <v>59</v>
      </c>
    </row>
    <row r="5" spans="2:12" x14ac:dyDescent="0.5">
      <c r="B5" s="18" t="s">
        <v>255</v>
      </c>
      <c r="C5" s="81">
        <f>'Overview 2016 (in)'!G38</f>
        <v>620</v>
      </c>
      <c r="D5" s="19">
        <f>'Overview 2016 (in)'!H38</f>
        <v>200</v>
      </c>
      <c r="E5" s="20">
        <f>'Overview 2016 (in)'!I38</f>
        <v>350</v>
      </c>
      <c r="F5" s="81">
        <f t="shared" ref="F5:F15" si="0">IFERROR(C5*H5/E5,0)</f>
        <v>620</v>
      </c>
      <c r="G5" s="19">
        <f t="shared" ref="G5:G15" si="1">IFERROR(D5*H5/E5, 0)</f>
        <v>200</v>
      </c>
      <c r="H5" s="20">
        <f>E5</f>
        <v>350</v>
      </c>
      <c r="I5" s="81">
        <f>IFERROR(F5*K5/H5,0)</f>
        <v>620</v>
      </c>
      <c r="J5" s="19">
        <f>IFERROR(G5*K5/H5, 0)</f>
        <v>200</v>
      </c>
      <c r="K5" s="20">
        <f>H5</f>
        <v>350</v>
      </c>
      <c r="L5" s="21" t="s">
        <v>256</v>
      </c>
    </row>
    <row r="6" spans="2:12" x14ac:dyDescent="0.5">
      <c r="B6" s="3" t="s">
        <v>257</v>
      </c>
      <c r="C6" s="82">
        <f>'Overview 2016 (in)'!G39</f>
        <v>10000</v>
      </c>
      <c r="D6" s="83">
        <f>'Overview 2016 (in)'!H39</f>
        <v>100</v>
      </c>
      <c r="E6" s="84">
        <f>'Overview 2016 (in)'!I39</f>
        <v>3500</v>
      </c>
      <c r="F6" s="82">
        <f t="shared" si="0"/>
        <v>10000</v>
      </c>
      <c r="G6" s="83">
        <f t="shared" si="1"/>
        <v>100</v>
      </c>
      <c r="H6" s="84">
        <f>E6</f>
        <v>3500</v>
      </c>
      <c r="I6" s="82">
        <f t="shared" ref="I6:I15" si="2">IFERROR(F6*K6/H6,0)</f>
        <v>10000</v>
      </c>
      <c r="J6" s="83">
        <f t="shared" ref="J6:J13" si="3">IFERROR(G6*K6/H6, 0)</f>
        <v>100</v>
      </c>
      <c r="K6" s="84">
        <f>H6</f>
        <v>3500</v>
      </c>
      <c r="L6" s="22" t="s">
        <v>258</v>
      </c>
    </row>
    <row r="7" spans="2:12" x14ac:dyDescent="0.5">
      <c r="B7" s="18" t="s">
        <v>259</v>
      </c>
      <c r="C7" s="85">
        <f>'Overview 2016 (in)'!G40</f>
        <v>10000</v>
      </c>
      <c r="D7" s="23">
        <f>'Overview 2016 (in)'!H40</f>
        <v>1000</v>
      </c>
      <c r="E7" s="107">
        <f>'Overview 2016 (in)'!I40</f>
        <v>2500</v>
      </c>
      <c r="F7" s="85">
        <f t="shared" ca="1" si="0"/>
        <v>20000</v>
      </c>
      <c r="G7" s="23">
        <f t="shared" ca="1" si="1"/>
        <v>2000</v>
      </c>
      <c r="H7" s="107">
        <f ca="1">INDIRECT(ADDRESS(ROW($B6),COLUMN(D$4),1,,$B$4))</f>
        <v>5000</v>
      </c>
      <c r="I7" s="85">
        <f ca="1">IFERROR(F7*K7/H7,0)</f>
        <v>30000</v>
      </c>
      <c r="J7" s="23">
        <f t="shared" ca="1" si="3"/>
        <v>3000</v>
      </c>
      <c r="K7" s="107">
        <f ca="1">INDIRECT(ADDRESS(ROW($B6),COLUMN($E4),1,,$B$4))</f>
        <v>7500</v>
      </c>
      <c r="L7" s="21" t="s">
        <v>105</v>
      </c>
    </row>
    <row r="8" spans="2:12" x14ac:dyDescent="0.5">
      <c r="B8" s="3" t="s">
        <v>260</v>
      </c>
      <c r="C8" s="86">
        <f>'Overview 2016 (in)'!G41</f>
        <v>20</v>
      </c>
      <c r="D8" s="87">
        <f>'Overview 2016 (in)'!H41</f>
        <v>5</v>
      </c>
      <c r="E8" s="109">
        <f>'Overview 2016 (in)'!I41</f>
        <v>12</v>
      </c>
      <c r="F8" s="86">
        <f t="shared" ca="1" si="0"/>
        <v>28.333333333333332</v>
      </c>
      <c r="G8" s="87">
        <f t="shared" ca="1" si="1"/>
        <v>7.083333333333333</v>
      </c>
      <c r="H8" s="109">
        <f ca="1">INDIRECT(ADDRESS(ROW($B7),COLUMN(D$4),1,,$B$4))</f>
        <v>17</v>
      </c>
      <c r="I8" s="86">
        <f t="shared" ca="1" si="2"/>
        <v>33.333333333333329</v>
      </c>
      <c r="J8" s="87">
        <f t="shared" ca="1" si="3"/>
        <v>8.3333333333333321</v>
      </c>
      <c r="K8" s="109">
        <f ca="1">INDIRECT(ADDRESS(ROW($B7),COLUMN($E4),1,,$B$4))</f>
        <v>20</v>
      </c>
      <c r="L8" s="22" t="s">
        <v>64</v>
      </c>
    </row>
    <row r="9" spans="2:12" x14ac:dyDescent="0.5">
      <c r="B9" s="18" t="s">
        <v>81</v>
      </c>
      <c r="C9" s="85">
        <f>'Overview 2016 (in)'!G42</f>
        <v>100</v>
      </c>
      <c r="D9" s="23">
        <f>'Overview 2016 (in)'!H42</f>
        <v>84</v>
      </c>
      <c r="E9" s="24">
        <f>'Overview 2016 (in)'!I42</f>
        <v>90</v>
      </c>
      <c r="F9" s="85">
        <f t="shared" si="0"/>
        <v>100</v>
      </c>
      <c r="G9" s="23">
        <f t="shared" si="1"/>
        <v>84</v>
      </c>
      <c r="H9" s="24">
        <f>E9</f>
        <v>90</v>
      </c>
      <c r="I9" s="85">
        <f t="shared" si="2"/>
        <v>100</v>
      </c>
      <c r="J9" s="23">
        <f t="shared" si="3"/>
        <v>84</v>
      </c>
      <c r="K9" s="24">
        <f>H9</f>
        <v>90</v>
      </c>
      <c r="L9" s="21" t="s">
        <v>66</v>
      </c>
    </row>
    <row r="10" spans="2:12" x14ac:dyDescent="0.5">
      <c r="B10" s="3" t="s">
        <v>65</v>
      </c>
      <c r="C10" s="86">
        <f>'Overview 2016 (in)'!G43</f>
        <v>90</v>
      </c>
      <c r="D10" s="87">
        <f>'Overview 2016 (in)'!H43</f>
        <v>81</v>
      </c>
      <c r="E10" s="109">
        <f>'Overview 2016 (in)'!I43</f>
        <v>86</v>
      </c>
      <c r="F10" s="86">
        <f t="shared" ca="1" si="0"/>
        <v>96.279069767441854</v>
      </c>
      <c r="G10" s="87">
        <f t="shared" ca="1" si="1"/>
        <v>86.651162790697668</v>
      </c>
      <c r="H10" s="109">
        <f ca="1">INDIRECT(ADDRESS(ROW($B8),COLUMN(D$4),1,,$B$4))</f>
        <v>92</v>
      </c>
      <c r="I10" s="86">
        <f t="shared" ca="1" si="2"/>
        <v>98.372093023255815</v>
      </c>
      <c r="J10" s="87">
        <f t="shared" ca="1" si="3"/>
        <v>88.534883720930225</v>
      </c>
      <c r="K10" s="109">
        <f ca="1">INDIRECT(ADDRESS(ROW($B8),COLUMN($E4),1,,$B$4))</f>
        <v>94</v>
      </c>
      <c r="L10" s="22" t="s">
        <v>66</v>
      </c>
    </row>
    <row r="11" spans="2:12" x14ac:dyDescent="0.5">
      <c r="B11" s="18" t="s">
        <v>137</v>
      </c>
      <c r="C11" s="81">
        <f>'Overview 2016 (in)'!G44</f>
        <v>0.09</v>
      </c>
      <c r="D11" s="19">
        <f>'Overview 2016 (in)'!H44</f>
        <v>0.36</v>
      </c>
      <c r="E11" s="20">
        <f>'Overview 2016 (in)'!I44</f>
        <v>0.1</v>
      </c>
      <c r="F11" s="81">
        <f t="shared" si="0"/>
        <v>8.9999999999999983E-2</v>
      </c>
      <c r="G11" s="19">
        <f t="shared" si="1"/>
        <v>0.35999999999999993</v>
      </c>
      <c r="H11" s="20">
        <f>E11</f>
        <v>0.1</v>
      </c>
      <c r="I11" s="81">
        <f t="shared" si="2"/>
        <v>8.9999999999999983E-2</v>
      </c>
      <c r="J11" s="19">
        <f t="shared" si="3"/>
        <v>0.35999999999999993</v>
      </c>
      <c r="K11" s="20">
        <f>H11</f>
        <v>0.1</v>
      </c>
      <c r="L11" s="21" t="s">
        <v>261</v>
      </c>
    </row>
    <row r="12" spans="2:12" x14ac:dyDescent="0.5">
      <c r="B12" s="28" t="s">
        <v>262</v>
      </c>
      <c r="C12" s="82">
        <f>'Overview 2016 (in)'!G45</f>
        <v>3.0000000000000001E-3</v>
      </c>
      <c r="D12" s="83">
        <f>'Overview 2016 (in)'!H45</f>
        <v>1</v>
      </c>
      <c r="E12" s="84">
        <f>'Overview 2016 (in)'!I45</f>
        <v>0.01</v>
      </c>
      <c r="F12" s="82">
        <f t="shared" si="0"/>
        <v>3.0000000000000001E-3</v>
      </c>
      <c r="G12" s="83">
        <f t="shared" si="1"/>
        <v>1</v>
      </c>
      <c r="H12" s="84">
        <f>E12</f>
        <v>0.01</v>
      </c>
      <c r="I12" s="82">
        <f t="shared" si="2"/>
        <v>3.0000000000000001E-3</v>
      </c>
      <c r="J12" s="83">
        <f t="shared" si="3"/>
        <v>1</v>
      </c>
      <c r="K12" s="84">
        <f>H12</f>
        <v>0.01</v>
      </c>
      <c r="L12" s="88" t="s">
        <v>265</v>
      </c>
    </row>
    <row r="13" spans="2:12" x14ac:dyDescent="0.5">
      <c r="B13" s="89" t="s">
        <v>266</v>
      </c>
      <c r="C13" s="90">
        <f>'Overview 2016 (in)'!G46</f>
        <v>0</v>
      </c>
      <c r="D13" s="25">
        <f>'Overview 2016 (in)'!H46</f>
        <v>0</v>
      </c>
      <c r="E13" s="26">
        <f>'Overview 2016 (in)'!I46</f>
        <v>0</v>
      </c>
      <c r="F13" s="90">
        <f t="shared" si="0"/>
        <v>0</v>
      </c>
      <c r="G13" s="25">
        <f t="shared" si="1"/>
        <v>0</v>
      </c>
      <c r="H13" s="26">
        <f>E13</f>
        <v>0</v>
      </c>
      <c r="I13" s="90">
        <f t="shared" si="2"/>
        <v>0</v>
      </c>
      <c r="J13" s="25">
        <f t="shared" si="3"/>
        <v>0</v>
      </c>
      <c r="K13" s="26">
        <f>H13</f>
        <v>0</v>
      </c>
      <c r="L13" s="21" t="s">
        <v>64</v>
      </c>
    </row>
    <row r="14" spans="2:12" x14ac:dyDescent="0.5">
      <c r="B14" s="28" t="s">
        <v>267</v>
      </c>
      <c r="C14" s="86">
        <f>'Overview 2016 (in)'!G47</f>
        <v>199.5</v>
      </c>
      <c r="D14" s="87">
        <f>'Overview 2016 (in)'!H47</f>
        <v>840</v>
      </c>
      <c r="E14" s="108">
        <f>'Overview 2016 (in)'!I47</f>
        <v>577.5</v>
      </c>
      <c r="F14" s="86">
        <f t="shared" ca="1" si="0"/>
        <v>67.36363636363636</v>
      </c>
      <c r="G14" s="87">
        <f t="shared" ca="1" si="1"/>
        <v>283.63636363636363</v>
      </c>
      <c r="H14" s="108">
        <f ca="1">IF(CELL("format",INDIRECT(ADDRESS(ROW($B4),COLUMN(D$4),1,,$B$4)))="W0-",INDIRECT(ADDRESS(ROW($B4),COLUMN(D$4),1,,$B$4))*'Overview 2016 (in)'!$O$7,INDIRECT(ADDRESS(ROW($B4),COLUMN(D$4),1,,$B$4)))</f>
        <v>195</v>
      </c>
      <c r="I14" s="86">
        <f t="shared" ca="1" si="2"/>
        <v>36.963636363636361</v>
      </c>
      <c r="J14" s="87">
        <f t="shared" ref="J14:J15" ca="1" si="4">IFERROR(G14*K14/H14,0)</f>
        <v>155.63636363636363</v>
      </c>
      <c r="K14" s="108">
        <f ca="1">IF(CELL("format",INDIRECT(ADDRESS(ROW($B4),COLUMN($E4),1,,$B$4)))="W0-",INDIRECT(ADDRESS(ROW($B4),COLUMN($E4),1,,$B$4))*'Overview 2016 (in)'!$O$7,INDIRECT(ADDRESS(ROW($B4),COLUMN($E4),1,,$B$4)))</f>
        <v>107</v>
      </c>
      <c r="L14" s="88" t="s">
        <v>268</v>
      </c>
    </row>
    <row r="15" spans="2:12" x14ac:dyDescent="0.5">
      <c r="B15" s="249" t="s">
        <v>269</v>
      </c>
      <c r="C15" s="81">
        <f>'Overview 2016 (in)'!G48</f>
        <v>0</v>
      </c>
      <c r="D15" s="19">
        <f>'Overview 2016 (in)'!H48</f>
        <v>0</v>
      </c>
      <c r="E15" s="20">
        <f>'Overview 2016 (in)'!I48</f>
        <v>0</v>
      </c>
      <c r="F15" s="81">
        <f t="shared" ca="1" si="0"/>
        <v>0</v>
      </c>
      <c r="G15" s="19">
        <f t="shared" ca="1" si="1"/>
        <v>0</v>
      </c>
      <c r="H15" s="20">
        <f ca="1">IF(CELL("format",INDIRECT(ADDRESS(ROW($B5),COLUMN(D$4),1,,$B$4)))="W0-",INDIRECT(ADDRESS(ROW($B5),COLUMN(D$4),1,,$B$4))*'Overview 2016 (in)'!$O$7,INDIRECT(ADDRESS(ROW($B5),COLUMN(D$4),1,,$B$4)))</f>
        <v>0</v>
      </c>
      <c r="I15" s="81">
        <f t="shared" ca="1" si="2"/>
        <v>0</v>
      </c>
      <c r="J15" s="19">
        <f t="shared" ca="1" si="4"/>
        <v>0</v>
      </c>
      <c r="K15" s="20">
        <f ca="1">IF(CELL("format",INDIRECT(ADDRESS(ROW($B5),COLUMN($E4),1,,$B$4)))="W0-",INDIRECT(ADDRESS(ROW($B5),COLUMN($E4),1,,$B$4))*'Overview 2016 (in)'!$O$7,INDIRECT(ADDRESS(ROW($B5),COLUMN($E4),1,,$B$4)))</f>
        <v>0</v>
      </c>
      <c r="L15" s="121" t="s">
        <v>61</v>
      </c>
    </row>
    <row r="16" spans="2:12" ht="14.7" thickBot="1" x14ac:dyDescent="0.55000000000000004">
      <c r="B16" s="245" t="s">
        <v>51</v>
      </c>
      <c r="C16" s="247">
        <f>'Li-Ion (LFP) (calc)'!C9</f>
        <v>0.33333333333333331</v>
      </c>
      <c r="D16" s="247">
        <f>'Li-Ion (LFP) (calc)'!C10</f>
        <v>1</v>
      </c>
      <c r="E16" s="246">
        <f>AVERAGE(C16:D16)</f>
        <v>0.66666666666666663</v>
      </c>
      <c r="F16" s="247">
        <f>C16</f>
        <v>0.33333333333333331</v>
      </c>
      <c r="G16" s="247">
        <f t="shared" ref="G16:K16" si="5">D16</f>
        <v>1</v>
      </c>
      <c r="H16" s="248">
        <f t="shared" si="5"/>
        <v>0.66666666666666663</v>
      </c>
      <c r="I16" s="247">
        <f t="shared" si="5"/>
        <v>0.33333333333333331</v>
      </c>
      <c r="J16" s="247">
        <f t="shared" si="5"/>
        <v>1</v>
      </c>
      <c r="K16" s="248">
        <f t="shared" si="5"/>
        <v>0.66666666666666663</v>
      </c>
      <c r="L16" s="135" t="s">
        <v>74</v>
      </c>
    </row>
    <row r="17" spans="2:3" x14ac:dyDescent="0.5">
      <c r="C17" s="111"/>
    </row>
    <row r="18" spans="2:3" ht="18" x14ac:dyDescent="0.6">
      <c r="B18" s="1"/>
    </row>
  </sheetData>
  <mergeCells count="3">
    <mergeCell ref="C3:E3"/>
    <mergeCell ref="F3:H3"/>
    <mergeCell ref="I3:K3"/>
  </mergeCells>
  <pageMargins left="0.7" right="0.7" top="0.78740157499999996" bottom="0.78740157499999996"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4">
    <tabColor rgb="FFFFC000"/>
  </sheetPr>
  <dimension ref="A2:L97"/>
  <sheetViews>
    <sheetView workbookViewId="0">
      <selection activeCell="B10" sqref="B10"/>
    </sheetView>
  </sheetViews>
  <sheetFormatPr defaultColWidth="9.17578125" defaultRowHeight="14.35" x14ac:dyDescent="0.5"/>
  <cols>
    <col min="1" max="1" width="12.64453125" bestFit="1" customWidth="1"/>
    <col min="2" max="2" width="26.52734375" customWidth="1"/>
    <col min="3" max="4" width="10.64453125" customWidth="1"/>
    <col min="5" max="5" width="11" customWidth="1"/>
    <col min="6" max="8" width="10.64453125" customWidth="1"/>
    <col min="9" max="9" width="20.29296875" customWidth="1"/>
    <col min="10" max="10" width="13.8203125" customWidth="1"/>
    <col min="11" max="16" width="12.64453125" customWidth="1"/>
    <col min="17" max="17" width="9.52734375" bestFit="1" customWidth="1"/>
  </cols>
  <sheetData>
    <row r="2" spans="2:12" ht="18.350000000000001" thickBot="1" x14ac:dyDescent="0.65">
      <c r="B2" s="1" t="s">
        <v>241</v>
      </c>
      <c r="C2" s="9"/>
      <c r="K2" s="1" t="s">
        <v>286</v>
      </c>
    </row>
    <row r="3" spans="2:12" x14ac:dyDescent="0.5">
      <c r="B3" s="4"/>
      <c r="C3" s="4">
        <v>2016</v>
      </c>
      <c r="D3" s="29">
        <v>2025</v>
      </c>
      <c r="E3" s="29">
        <v>2030</v>
      </c>
      <c r="F3" s="4" t="s">
        <v>59</v>
      </c>
      <c r="H3" s="3"/>
      <c r="I3" s="4" t="s">
        <v>287</v>
      </c>
      <c r="J3" s="4" t="s">
        <v>289</v>
      </c>
      <c r="K3" s="4" t="s">
        <v>290</v>
      </c>
    </row>
    <row r="4" spans="2:12" x14ac:dyDescent="0.5">
      <c r="B4" s="3" t="s">
        <v>267</v>
      </c>
      <c r="C4" s="32">
        <f>'Overview 2016 (in)'!L47</f>
        <v>1050</v>
      </c>
      <c r="D4" s="32">
        <v>422</v>
      </c>
      <c r="E4" s="32">
        <v>254</v>
      </c>
      <c r="F4" t="s">
        <v>268</v>
      </c>
      <c r="I4" s="35" t="s">
        <v>350</v>
      </c>
      <c r="J4" s="35" t="s">
        <v>472</v>
      </c>
      <c r="K4" s="35" t="s">
        <v>472</v>
      </c>
    </row>
    <row r="5" spans="2:12" x14ac:dyDescent="0.5">
      <c r="B5" s="3" t="s">
        <v>269</v>
      </c>
      <c r="C5" s="32">
        <f>'Overview 2016 (in)'!L48</f>
        <v>0</v>
      </c>
      <c r="D5" s="32">
        <v>78</v>
      </c>
      <c r="E5" s="32">
        <v>50</v>
      </c>
      <c r="F5" t="s">
        <v>61</v>
      </c>
      <c r="I5" s="35" t="s">
        <v>350</v>
      </c>
      <c r="J5">
        <v>1</v>
      </c>
      <c r="K5">
        <v>1</v>
      </c>
    </row>
    <row r="6" spans="2:12" x14ac:dyDescent="0.5">
      <c r="B6" s="3" t="s">
        <v>259</v>
      </c>
      <c r="C6">
        <f>'Overview 2016 (in)'!L40</f>
        <v>10000</v>
      </c>
      <c r="D6" s="92">
        <f>D73</f>
        <v>17500</v>
      </c>
      <c r="E6" s="32">
        <f>24000</f>
        <v>24000</v>
      </c>
      <c r="F6" t="s">
        <v>105</v>
      </c>
      <c r="I6" s="35" t="s">
        <v>350</v>
      </c>
      <c r="J6">
        <v>7</v>
      </c>
      <c r="K6">
        <v>7</v>
      </c>
    </row>
    <row r="7" spans="2:12" x14ac:dyDescent="0.5">
      <c r="B7" s="3" t="s">
        <v>260</v>
      </c>
      <c r="C7">
        <f>'Overview 2016 (in)'!L41</f>
        <v>15</v>
      </c>
      <c r="D7">
        <v>17</v>
      </c>
      <c r="E7">
        <v>20</v>
      </c>
      <c r="F7" t="s">
        <v>64</v>
      </c>
      <c r="I7" s="35" t="s">
        <v>350</v>
      </c>
      <c r="J7" t="s">
        <v>291</v>
      </c>
      <c r="K7" t="s">
        <v>291</v>
      </c>
    </row>
    <row r="8" spans="2:12" x14ac:dyDescent="0.5">
      <c r="B8" s="3" t="s">
        <v>65</v>
      </c>
      <c r="C8">
        <f>'Overview 2016 (in)'!L43</f>
        <v>96</v>
      </c>
      <c r="D8" s="32">
        <v>96</v>
      </c>
      <c r="E8">
        <v>96</v>
      </c>
      <c r="F8" t="s">
        <v>66</v>
      </c>
      <c r="I8" s="35" t="s">
        <v>350</v>
      </c>
      <c r="J8" t="s">
        <v>291</v>
      </c>
      <c r="K8" t="s">
        <v>291</v>
      </c>
    </row>
    <row r="9" spans="2:12" ht="14.7" thickBot="1" x14ac:dyDescent="0.55000000000000004">
      <c r="B9" s="5" t="s">
        <v>51</v>
      </c>
      <c r="C9" s="6">
        <f>1/25</f>
        <v>0.04</v>
      </c>
      <c r="D9" s="6">
        <f>1/25</f>
        <v>0.04</v>
      </c>
      <c r="E9" s="6">
        <f>1/25</f>
        <v>0.04</v>
      </c>
      <c r="F9" s="6" t="s">
        <v>74</v>
      </c>
      <c r="I9" s="36">
        <v>9</v>
      </c>
      <c r="J9" s="6">
        <v>9</v>
      </c>
      <c r="K9" s="6">
        <v>9</v>
      </c>
    </row>
    <row r="10" spans="2:12" x14ac:dyDescent="0.5">
      <c r="B10" s="3"/>
      <c r="C10" s="10"/>
    </row>
    <row r="12" spans="2:12" x14ac:dyDescent="0.5">
      <c r="K12" s="2" t="s">
        <v>294</v>
      </c>
    </row>
    <row r="13" spans="2:12" ht="18.350000000000001" thickBot="1" x14ac:dyDescent="0.65">
      <c r="B13" s="1" t="s">
        <v>295</v>
      </c>
      <c r="K13" s="11" t="s">
        <v>296</v>
      </c>
    </row>
    <row r="14" spans="2:12" x14ac:dyDescent="0.5">
      <c r="B14" s="7" t="s">
        <v>297</v>
      </c>
      <c r="C14" s="7" t="s">
        <v>298</v>
      </c>
      <c r="D14" s="7" t="s">
        <v>299</v>
      </c>
      <c r="E14" s="7" t="s">
        <v>300</v>
      </c>
      <c r="F14" s="46" t="s">
        <v>301</v>
      </c>
      <c r="G14" s="7"/>
      <c r="H14" s="46" t="s">
        <v>84</v>
      </c>
      <c r="K14" s="40" t="s">
        <v>302</v>
      </c>
      <c r="L14" s="40"/>
    </row>
    <row r="15" spans="2:12" x14ac:dyDescent="0.5">
      <c r="B15">
        <v>1</v>
      </c>
      <c r="C15" t="s">
        <v>303</v>
      </c>
      <c r="D15" t="s">
        <v>304</v>
      </c>
      <c r="E15" s="164" t="s">
        <v>305</v>
      </c>
      <c r="F15" s="80" t="s">
        <v>306</v>
      </c>
      <c r="H15" s="22" t="s">
        <v>376</v>
      </c>
    </row>
    <row r="16" spans="2:12" x14ac:dyDescent="0.5">
      <c r="B16">
        <v>2</v>
      </c>
      <c r="C16" t="s">
        <v>307</v>
      </c>
      <c r="D16" t="s">
        <v>308</v>
      </c>
      <c r="E16" s="164" t="s">
        <v>309</v>
      </c>
      <c r="F16" s="80" t="s">
        <v>310</v>
      </c>
      <c r="H16" s="22" t="s">
        <v>376</v>
      </c>
    </row>
    <row r="17" spans="1:11" x14ac:dyDescent="0.5">
      <c r="B17">
        <v>3</v>
      </c>
      <c r="C17" t="s">
        <v>354</v>
      </c>
      <c r="D17" t="s">
        <v>355</v>
      </c>
      <c r="E17" s="164" t="s">
        <v>356</v>
      </c>
      <c r="F17" s="80" t="s">
        <v>357</v>
      </c>
      <c r="H17" s="22" t="s">
        <v>376</v>
      </c>
    </row>
    <row r="18" spans="1:11" x14ac:dyDescent="0.5">
      <c r="B18">
        <v>4</v>
      </c>
      <c r="C18" t="s">
        <v>311</v>
      </c>
      <c r="D18" t="s">
        <v>312</v>
      </c>
      <c r="E18" s="164" t="s">
        <v>313</v>
      </c>
      <c r="F18" s="80" t="s">
        <v>314</v>
      </c>
      <c r="H18" s="22" t="s">
        <v>376</v>
      </c>
    </row>
    <row r="19" spans="1:11" x14ac:dyDescent="0.5">
      <c r="B19">
        <v>5</v>
      </c>
      <c r="C19" t="s">
        <v>358</v>
      </c>
      <c r="D19" t="s">
        <v>359</v>
      </c>
      <c r="E19" s="164" t="s">
        <v>360</v>
      </c>
      <c r="F19" s="80" t="s">
        <v>361</v>
      </c>
      <c r="H19" s="22" t="s">
        <v>276</v>
      </c>
    </row>
    <row r="20" spans="1:11" x14ac:dyDescent="0.5">
      <c r="B20">
        <v>6</v>
      </c>
      <c r="C20" t="s">
        <v>380</v>
      </c>
      <c r="E20" s="164" t="s">
        <v>473</v>
      </c>
      <c r="F20" s="80" t="s">
        <v>382</v>
      </c>
      <c r="H20" s="22" t="s">
        <v>276</v>
      </c>
    </row>
    <row r="21" spans="1:11" x14ac:dyDescent="0.5">
      <c r="B21">
        <v>7</v>
      </c>
      <c r="C21" t="s">
        <v>383</v>
      </c>
      <c r="E21" s="164" t="s">
        <v>474</v>
      </c>
      <c r="F21" s="80" t="s">
        <v>382</v>
      </c>
      <c r="H21" s="22" t="s">
        <v>276</v>
      </c>
    </row>
    <row r="22" spans="1:11" x14ac:dyDescent="0.5">
      <c r="B22">
        <v>8</v>
      </c>
      <c r="C22" t="s">
        <v>475</v>
      </c>
      <c r="D22" s="164" t="s">
        <v>476</v>
      </c>
      <c r="E22" s="164" t="s">
        <v>477</v>
      </c>
      <c r="F22" s="80" t="s">
        <v>478</v>
      </c>
      <c r="H22" s="22" t="s">
        <v>276</v>
      </c>
    </row>
    <row r="23" spans="1:11" x14ac:dyDescent="0.5">
      <c r="B23">
        <v>9</v>
      </c>
      <c r="C23" t="s">
        <v>479</v>
      </c>
      <c r="D23" t="s">
        <v>480</v>
      </c>
      <c r="E23" s="164" t="s">
        <v>481</v>
      </c>
      <c r="F23" s="80" t="s">
        <v>482</v>
      </c>
      <c r="H23" s="22" t="s">
        <v>276</v>
      </c>
    </row>
    <row r="24" spans="1:11" x14ac:dyDescent="0.5">
      <c r="B24">
        <v>10</v>
      </c>
      <c r="C24" t="s">
        <v>399</v>
      </c>
      <c r="D24" s="224" t="s">
        <v>400</v>
      </c>
      <c r="E24" s="164" t="s">
        <v>401</v>
      </c>
      <c r="F24" s="80" t="s">
        <v>402</v>
      </c>
      <c r="G24" s="115"/>
      <c r="H24" s="22" t="s">
        <v>403</v>
      </c>
      <c r="I24" t="s">
        <v>404</v>
      </c>
    </row>
    <row r="25" spans="1:11" x14ac:dyDescent="0.5">
      <c r="E25" s="164"/>
      <c r="F25" s="185"/>
    </row>
    <row r="26" spans="1:11" x14ac:dyDescent="0.5">
      <c r="A26" s="68" t="s">
        <v>319</v>
      </c>
    </row>
    <row r="27" spans="1:11" ht="14.7" thickBot="1" x14ac:dyDescent="0.55000000000000004">
      <c r="A27" s="68" t="s">
        <v>320</v>
      </c>
    </row>
    <row r="28" spans="1:11" x14ac:dyDescent="0.5">
      <c r="A28" s="3" t="s">
        <v>321</v>
      </c>
      <c r="B28" s="4"/>
      <c r="C28" s="4">
        <v>2016</v>
      </c>
      <c r="D28" s="29">
        <v>2020</v>
      </c>
      <c r="E28" s="4">
        <v>2023</v>
      </c>
      <c r="F28" s="29">
        <v>2025</v>
      </c>
      <c r="G28" s="29">
        <v>2030</v>
      </c>
      <c r="H28" s="4">
        <v>2033</v>
      </c>
      <c r="I28" s="4" t="s">
        <v>59</v>
      </c>
      <c r="J28" s="16" t="s">
        <v>322</v>
      </c>
      <c r="K28" s="4" t="s">
        <v>323</v>
      </c>
    </row>
    <row r="29" spans="1:11" x14ac:dyDescent="0.5">
      <c r="B29" s="3" t="s">
        <v>267</v>
      </c>
      <c r="C29" s="32">
        <f>C4</f>
        <v>1050</v>
      </c>
      <c r="D29" s="54">
        <f>$C29*(1-$J29)^(D$28-$C$28)</f>
        <v>726.42902947127232</v>
      </c>
      <c r="E29" s="39"/>
      <c r="F29" s="54">
        <f>$C29*(1-$J29)^(F$28-$C$28)</f>
        <v>458.35086586071282</v>
      </c>
      <c r="G29" s="58">
        <f>225*Financials!D5</f>
        <v>289.20308483290489</v>
      </c>
      <c r="H29" s="39"/>
      <c r="I29" t="s">
        <v>268</v>
      </c>
      <c r="J29" s="168">
        <f>1-(G29/C29)^(1/(G$28-C$28))</f>
        <v>8.7987117351006949E-2</v>
      </c>
      <c r="K29" s="44"/>
    </row>
    <row r="30" spans="1:11" x14ac:dyDescent="0.5">
      <c r="B30" s="3" t="s">
        <v>269</v>
      </c>
      <c r="C30" s="32">
        <f>C5</f>
        <v>0</v>
      </c>
      <c r="D30" s="54">
        <f>$C30*(1-$J30)^(D$28-$C$28)</f>
        <v>0</v>
      </c>
      <c r="E30" s="39"/>
      <c r="F30" s="54">
        <f>$C30*(1-$J30)^(F$28-$C$28)</f>
        <v>0</v>
      </c>
      <c r="G30" s="58">
        <f>50*Financials!D5</f>
        <v>64.267352185089976</v>
      </c>
      <c r="H30" s="39"/>
      <c r="I30" t="s">
        <v>61</v>
      </c>
      <c r="J30" s="168">
        <v>0</v>
      </c>
      <c r="K30" s="44"/>
    </row>
    <row r="31" spans="1:11" x14ac:dyDescent="0.5">
      <c r="B31" s="3" t="s">
        <v>259</v>
      </c>
      <c r="C31">
        <f>C6</f>
        <v>10000</v>
      </c>
      <c r="D31" s="54">
        <f>$C31*(1-$J31)^(D$28-$C$28)</f>
        <v>8841.921876153152</v>
      </c>
      <c r="E31" s="39"/>
      <c r="F31" s="54">
        <f>$C31*(1-$J31)^(F$28-$C$28)</f>
        <v>7581.0614161207959</v>
      </c>
      <c r="G31" s="58">
        <v>6500</v>
      </c>
      <c r="H31" s="40"/>
      <c r="I31" t="s">
        <v>105</v>
      </c>
      <c r="J31" s="168">
        <f>1-(G31/C31)^(1/(G$28-C$28))</f>
        <v>3.0301623878315365E-2</v>
      </c>
      <c r="K31" s="44"/>
    </row>
    <row r="32" spans="1:11" x14ac:dyDescent="0.5">
      <c r="B32" s="3" t="s">
        <v>260</v>
      </c>
      <c r="C32">
        <f>C7</f>
        <v>15</v>
      </c>
      <c r="D32" s="54">
        <f>$C32*(1-$J32)^(D$28-$C$28)</f>
        <v>16.285010425943351</v>
      </c>
      <c r="E32" s="39"/>
      <c r="F32" s="54">
        <f>$C32*(1-$J32)^(F$28-$C$28)</f>
        <v>18.047166218519362</v>
      </c>
      <c r="G32" s="58">
        <v>20</v>
      </c>
      <c r="H32" s="40"/>
      <c r="I32" t="s">
        <v>64</v>
      </c>
      <c r="J32" s="168">
        <f>1-(G32/C32)^(1/(G$28-C$28))</f>
        <v>-2.0761297971865877E-2</v>
      </c>
      <c r="K32" s="44"/>
    </row>
    <row r="33" spans="1:11" ht="14.7" thickBot="1" x14ac:dyDescent="0.55000000000000004">
      <c r="B33" s="5" t="s">
        <v>65</v>
      </c>
      <c r="C33" s="6">
        <f>C8</f>
        <v>96</v>
      </c>
      <c r="D33" s="55">
        <f>$C33*(1-$J33)^(D$28-$C$28)</f>
        <v>93.94563298052671</v>
      </c>
      <c r="E33" s="41"/>
      <c r="F33" s="55">
        <f>$C33*(1-$J33)^(F$28-$C$28)</f>
        <v>91.439386126914044</v>
      </c>
      <c r="G33" s="59">
        <v>89</v>
      </c>
      <c r="H33" s="42"/>
      <c r="I33" s="6" t="s">
        <v>66</v>
      </c>
      <c r="J33" s="169">
        <f>1-(G33/C33)^(1/(G$28-C$28))</f>
        <v>5.3933904287220003E-3</v>
      </c>
      <c r="K33" s="166"/>
    </row>
    <row r="34" spans="1:11" ht="14.7" thickBot="1" x14ac:dyDescent="0.55000000000000004">
      <c r="J34" s="168"/>
      <c r="K34" s="44"/>
    </row>
    <row r="35" spans="1:11" x14ac:dyDescent="0.5">
      <c r="A35" s="3" t="s">
        <v>325</v>
      </c>
      <c r="B35" s="4"/>
      <c r="C35" s="4">
        <v>2016</v>
      </c>
      <c r="D35" s="29">
        <v>2020</v>
      </c>
      <c r="E35" s="4">
        <v>2023</v>
      </c>
      <c r="F35" s="29">
        <v>2025</v>
      </c>
      <c r="G35" s="29">
        <v>2030</v>
      </c>
      <c r="H35" s="4">
        <v>2033</v>
      </c>
      <c r="I35" s="4" t="s">
        <v>59</v>
      </c>
      <c r="J35" s="170"/>
      <c r="K35" s="167"/>
    </row>
    <row r="36" spans="1:11" x14ac:dyDescent="0.5">
      <c r="B36" s="3" t="s">
        <v>267</v>
      </c>
      <c r="C36" s="32">
        <f>C4</f>
        <v>1050</v>
      </c>
      <c r="D36" s="54">
        <f>$C36*(1-$J36)^(D$28-$C$28)</f>
        <v>659.10021427408503</v>
      </c>
      <c r="E36" s="32">
        <f>350*Financials!D7</f>
        <v>464.80743691899067</v>
      </c>
      <c r="F36" s="54">
        <f>$E36*(1-$K36)^(F$28-$E$28)</f>
        <v>442.92072084066979</v>
      </c>
      <c r="G36" s="54">
        <f>$E36*(1-$K36)^(G$28-$E$28)</f>
        <v>392.60725690569524</v>
      </c>
      <c r="H36" s="32">
        <f>275*Financials!D7</f>
        <v>365.20584329349265</v>
      </c>
      <c r="I36" t="s">
        <v>268</v>
      </c>
      <c r="J36" s="168">
        <f>1-(E36/C36)^(1/(E$28-C$28))</f>
        <v>0.10989643913067482</v>
      </c>
      <c r="K36" s="44">
        <f>1-(H36/E36)^(1/(H$28-E$28))</f>
        <v>2.3827733597007295E-2</v>
      </c>
    </row>
    <row r="37" spans="1:11" x14ac:dyDescent="0.5">
      <c r="B37" s="3" t="s">
        <v>269</v>
      </c>
      <c r="C37" s="32">
        <f>C5</f>
        <v>0</v>
      </c>
      <c r="D37" s="63"/>
      <c r="E37" s="39"/>
      <c r="F37" s="63"/>
      <c r="G37" s="63"/>
      <c r="H37" s="39"/>
      <c r="I37" t="s">
        <v>61</v>
      </c>
      <c r="J37" s="168"/>
      <c r="K37" s="44"/>
    </row>
    <row r="38" spans="1:11" x14ac:dyDescent="0.5">
      <c r="B38" s="3" t="s">
        <v>259</v>
      </c>
      <c r="C38">
        <f>C6</f>
        <v>10000</v>
      </c>
      <c r="D38" s="63"/>
      <c r="E38" s="39"/>
      <c r="F38" s="63"/>
      <c r="G38" s="63"/>
      <c r="H38" s="40"/>
      <c r="I38" t="s">
        <v>105</v>
      </c>
      <c r="J38" s="168"/>
      <c r="K38" s="44"/>
    </row>
    <row r="39" spans="1:11" x14ac:dyDescent="0.5">
      <c r="B39" s="3" t="s">
        <v>260</v>
      </c>
      <c r="C39">
        <f>C7</f>
        <v>15</v>
      </c>
      <c r="D39" s="54">
        <f>$C39*(1-$J39)^(D$28-$C$28)</f>
        <v>15</v>
      </c>
      <c r="E39" s="32">
        <v>15</v>
      </c>
      <c r="F39" s="54">
        <f>$E39*(1-$K39)^(F$28-$E$28)</f>
        <v>15.888357615732186</v>
      </c>
      <c r="G39" s="54">
        <f>$E39*(1-$K39)^(G$28-$E$28)</f>
        <v>18.346295092848042</v>
      </c>
      <c r="H39">
        <v>20</v>
      </c>
      <c r="I39" t="s">
        <v>64</v>
      </c>
      <c r="J39" s="168">
        <f>1-(E39/C39)^(1/(E$28-C$28))</f>
        <v>0</v>
      </c>
      <c r="K39" s="44">
        <f>1-(H39/E39)^(1/(H$28-E$28))</f>
        <v>-2.9186008964760646E-2</v>
      </c>
    </row>
    <row r="40" spans="1:11" ht="14.7" thickBot="1" x14ac:dyDescent="0.55000000000000004">
      <c r="B40" s="5" t="s">
        <v>65</v>
      </c>
      <c r="C40" s="6">
        <f>C8</f>
        <v>96</v>
      </c>
      <c r="D40" s="55">
        <f>$C40*(1-$J40)^(D$28-$C$28)</f>
        <v>92.524089397474654</v>
      </c>
      <c r="E40" s="33">
        <v>90</v>
      </c>
      <c r="F40" s="55">
        <f>$E40*(1-$K40)^(F$28-$E$28)</f>
        <v>90</v>
      </c>
      <c r="G40" s="55">
        <f>$E40*(1-$K40)^(G$28-$E$28)</f>
        <v>90</v>
      </c>
      <c r="H40" s="6">
        <v>90</v>
      </c>
      <c r="I40" s="6" t="s">
        <v>66</v>
      </c>
      <c r="J40" s="169">
        <f>1-(E40/C40)^(1/(E$28-C$28))</f>
        <v>9.1774168018654567E-3</v>
      </c>
      <c r="K40" s="166">
        <f>1-(H40/E40)^(1/(H$28-E$28))</f>
        <v>0</v>
      </c>
    </row>
    <row r="41" spans="1:11" ht="14.7" thickBot="1" x14ac:dyDescent="0.55000000000000004">
      <c r="J41" s="168"/>
      <c r="K41" s="44"/>
    </row>
    <row r="42" spans="1:11" x14ac:dyDescent="0.5">
      <c r="A42" s="3" t="s">
        <v>326</v>
      </c>
      <c r="B42" s="4"/>
      <c r="C42" s="4">
        <v>2016</v>
      </c>
      <c r="D42" s="29">
        <v>2020</v>
      </c>
      <c r="E42" s="4">
        <v>2023</v>
      </c>
      <c r="F42" s="29">
        <v>2025</v>
      </c>
      <c r="G42" s="29">
        <v>2030</v>
      </c>
      <c r="H42" s="4">
        <v>2033</v>
      </c>
      <c r="I42" s="4" t="s">
        <v>59</v>
      </c>
      <c r="J42" s="170"/>
      <c r="K42" s="167"/>
    </row>
    <row r="43" spans="1:11" x14ac:dyDescent="0.5">
      <c r="B43" s="3" t="s">
        <v>267</v>
      </c>
      <c r="C43" s="32">
        <f>C4</f>
        <v>1050</v>
      </c>
      <c r="D43" s="58">
        <f>180*Financials!D8</f>
        <v>199.77802441731407</v>
      </c>
      <c r="E43" s="39"/>
      <c r="F43" s="58">
        <f>145*Financials!D8</f>
        <v>160.9322974472808</v>
      </c>
      <c r="G43" s="65">
        <f>$D43*(1-$K43)^(G$28-$D$28)</f>
        <v>129.63990627697618</v>
      </c>
      <c r="H43" s="39"/>
      <c r="I43" t="s">
        <v>268</v>
      </c>
      <c r="J43" s="168">
        <f>1-(G43/C43)^(1/(G$28-C$28))</f>
        <v>0.13878681117093794</v>
      </c>
      <c r="K43" s="44">
        <f>1-(F43/D43)^(1/(F$28-D$28))</f>
        <v>4.2322907181576386E-2</v>
      </c>
    </row>
    <row r="44" spans="1:11" x14ac:dyDescent="0.5">
      <c r="B44" s="3" t="s">
        <v>269</v>
      </c>
      <c r="C44" s="32">
        <f>C5</f>
        <v>0</v>
      </c>
      <c r="D44" s="63"/>
      <c r="E44" s="39"/>
      <c r="F44" s="63"/>
      <c r="G44" s="63"/>
      <c r="H44" s="39"/>
      <c r="I44" t="s">
        <v>61</v>
      </c>
      <c r="J44" s="168" t="e">
        <f>1-(G44/C44)^(1/(G$28-C$28))</f>
        <v>#DIV/0!</v>
      </c>
      <c r="K44" s="44"/>
    </row>
    <row r="45" spans="1:11" x14ac:dyDescent="0.5">
      <c r="B45" s="3" t="s">
        <v>259</v>
      </c>
      <c r="C45">
        <f>C6</f>
        <v>10000</v>
      </c>
      <c r="D45" s="58">
        <v>6500</v>
      </c>
      <c r="E45" s="39"/>
      <c r="F45" s="54">
        <f>$D45*(1-$K45)^(F$28-$D$28)</f>
        <v>6500</v>
      </c>
      <c r="G45" s="58">
        <v>6500</v>
      </c>
      <c r="H45" s="40"/>
      <c r="I45" t="s">
        <v>105</v>
      </c>
      <c r="J45" s="168">
        <f>1-(G45/C45)^(1/(G$28-C$28))</f>
        <v>3.0301623878315365E-2</v>
      </c>
      <c r="K45" s="44">
        <f>1-(G45/D45)^(1/(G$28-D$28))</f>
        <v>0</v>
      </c>
    </row>
    <row r="46" spans="1:11" x14ac:dyDescent="0.5">
      <c r="B46" s="3" t="s">
        <v>260</v>
      </c>
      <c r="C46">
        <f>C7</f>
        <v>15</v>
      </c>
      <c r="D46" s="58">
        <v>20</v>
      </c>
      <c r="E46" s="39"/>
      <c r="F46" s="54">
        <f>$D46*(1-$K46)^(F$28-$D$28)</f>
        <v>20</v>
      </c>
      <c r="G46" s="58">
        <v>20</v>
      </c>
      <c r="H46" s="40"/>
      <c r="I46" t="s">
        <v>64</v>
      </c>
      <c r="J46" s="168">
        <f>1-(G46/C46)^(1/(G$28-C$28))</f>
        <v>-2.0761297971865877E-2</v>
      </c>
      <c r="K46" s="44">
        <f>1-(G46/D46)^(1/(G$28-D$28))</f>
        <v>0</v>
      </c>
    </row>
    <row r="47" spans="1:11" ht="14.7" thickBot="1" x14ac:dyDescent="0.55000000000000004">
      <c r="B47" s="5" t="s">
        <v>65</v>
      </c>
      <c r="C47" s="34">
        <f>C8</f>
        <v>96</v>
      </c>
      <c r="D47" s="64">
        <v>87.5</v>
      </c>
      <c r="E47" s="43"/>
      <c r="F47" s="61">
        <f>$D47*(1-$K47)^(F$28-$D$28)</f>
        <v>87.5</v>
      </c>
      <c r="G47" s="64">
        <v>87.5</v>
      </c>
      <c r="H47" s="43"/>
      <c r="I47" s="6" t="s">
        <v>66</v>
      </c>
      <c r="J47" s="169">
        <f>1-(G47/C47)^(1/(G$28-C$28))</f>
        <v>6.60022208021116E-3</v>
      </c>
      <c r="K47" s="166">
        <f>1-(G47/D47)^(1/(G$28-D$28))</f>
        <v>0</v>
      </c>
    </row>
    <row r="48" spans="1:11" ht="14.7" thickBot="1" x14ac:dyDescent="0.55000000000000004">
      <c r="B48" s="3"/>
      <c r="C48" s="32"/>
      <c r="D48" s="32"/>
      <c r="E48" s="32"/>
      <c r="F48" s="37"/>
      <c r="G48" s="37"/>
    </row>
    <row r="49" spans="1:11" x14ac:dyDescent="0.5">
      <c r="A49" s="3" t="s">
        <v>327</v>
      </c>
      <c r="B49" s="4"/>
      <c r="C49" s="4">
        <v>2016</v>
      </c>
      <c r="D49" s="29">
        <v>2020</v>
      </c>
      <c r="E49" s="4">
        <v>2023</v>
      </c>
      <c r="F49" s="29">
        <v>2025</v>
      </c>
      <c r="G49" s="29">
        <v>2030</v>
      </c>
      <c r="H49" s="4">
        <v>2050</v>
      </c>
      <c r="I49" s="4" t="s">
        <v>59</v>
      </c>
      <c r="J49" s="170"/>
      <c r="K49" s="167"/>
    </row>
    <row r="50" spans="1:11" x14ac:dyDescent="0.5">
      <c r="B50" s="3" t="s">
        <v>267</v>
      </c>
      <c r="C50" s="32">
        <f>C4</f>
        <v>1050</v>
      </c>
      <c r="D50" s="54">
        <f>$C50*(1-$J50)^(D$28-$C$28)</f>
        <v>677.09044906978147</v>
      </c>
      <c r="E50" s="32">
        <f>439*Financials!D8</f>
        <v>487.23640399556047</v>
      </c>
      <c r="F50" s="54">
        <f>$E50*(1-$K50)^(F$49-$E$49)</f>
        <v>473.09830885362516</v>
      </c>
      <c r="G50" s="54">
        <f>$E50*(1-$K50)^(G$49-$E$49)</f>
        <v>439.52194251350539</v>
      </c>
      <c r="H50" s="32">
        <f>295*Financials!D8</f>
        <v>327.41398446170922</v>
      </c>
      <c r="I50" t="s">
        <v>268</v>
      </c>
      <c r="J50" s="168">
        <f t="shared" ref="J50:J53" si="0">1-(E50/C50)^(1/(E$49-C$49))</f>
        <v>0.10388376163230717</v>
      </c>
      <c r="K50" s="44">
        <f t="shared" ref="K50:K53" si="1">1-(H50/E50)^(1/(H$49-E$49))</f>
        <v>1.4615258150648458E-2</v>
      </c>
    </row>
    <row r="51" spans="1:11" x14ac:dyDescent="0.5">
      <c r="B51" s="3" t="s">
        <v>269</v>
      </c>
      <c r="C51" s="32">
        <f>C5</f>
        <v>0</v>
      </c>
      <c r="D51" s="63"/>
      <c r="E51" s="39"/>
      <c r="F51" s="63"/>
      <c r="G51" s="63"/>
      <c r="H51" s="39"/>
      <c r="I51" t="s">
        <v>61</v>
      </c>
      <c r="J51" s="168"/>
      <c r="K51" s="44"/>
    </row>
    <row r="52" spans="1:11" x14ac:dyDescent="0.5">
      <c r="B52" s="3" t="s">
        <v>259</v>
      </c>
      <c r="C52">
        <f>C6</f>
        <v>10000</v>
      </c>
      <c r="D52" s="54">
        <f>$C52*(1-$J52)^(D$28-$C$28)</f>
        <v>10920.821492656252</v>
      </c>
      <c r="E52" s="32">
        <f>7000*5/3</f>
        <v>11666.666666666666</v>
      </c>
      <c r="F52" s="54">
        <f t="shared" ref="F52:G54" si="2">$E52*(1-$K52)^(F$49-$E$49)</f>
        <v>12141.889785550666</v>
      </c>
      <c r="G52" s="54">
        <f t="shared" si="2"/>
        <v>13416.370042849778</v>
      </c>
      <c r="H52">
        <f>12000*5/3</f>
        <v>20000</v>
      </c>
      <c r="I52" t="s">
        <v>105</v>
      </c>
      <c r="J52" s="168">
        <f t="shared" si="0"/>
        <v>-2.2265789209679587E-2</v>
      </c>
      <c r="K52" s="44">
        <f t="shared" si="1"/>
        <v>-2.0163423275926462E-2</v>
      </c>
    </row>
    <row r="53" spans="1:11" x14ac:dyDescent="0.5">
      <c r="B53" s="3" t="s">
        <v>260</v>
      </c>
      <c r="C53">
        <f>C7</f>
        <v>15</v>
      </c>
      <c r="D53" s="54">
        <f>$C53*(1-$J53)^(D$28-$C$28)</f>
        <v>16.112123436111531</v>
      </c>
      <c r="E53" s="37">
        <v>17</v>
      </c>
      <c r="F53" s="54">
        <f t="shared" si="2"/>
        <v>17.439837203603965</v>
      </c>
      <c r="G53" s="54">
        <f t="shared" si="2"/>
        <v>18.589863017514233</v>
      </c>
      <c r="H53">
        <v>24</v>
      </c>
      <c r="I53" t="s">
        <v>64</v>
      </c>
      <c r="J53" s="168">
        <f t="shared" si="0"/>
        <v>-1.804126125684169E-2</v>
      </c>
      <c r="K53" s="44">
        <f t="shared" si="1"/>
        <v>-1.2853778530043325E-2</v>
      </c>
    </row>
    <row r="54" spans="1:11" ht="14.7" thickBot="1" x14ac:dyDescent="0.55000000000000004">
      <c r="B54" s="5" t="s">
        <v>65</v>
      </c>
      <c r="C54" s="34">
        <f>C8</f>
        <v>96</v>
      </c>
      <c r="D54" s="55">
        <f>$C54*(1-$J54)^(D$28-$C$28)</f>
        <v>90.748933525323139</v>
      </c>
      <c r="E54" s="34">
        <v>87</v>
      </c>
      <c r="F54" s="55">
        <f t="shared" si="2"/>
        <v>87.218751218274875</v>
      </c>
      <c r="G54" s="55">
        <f t="shared" si="2"/>
        <v>87.768038645537743</v>
      </c>
      <c r="H54" s="34">
        <v>90</v>
      </c>
      <c r="I54" s="6" t="s">
        <v>66</v>
      </c>
      <c r="J54" s="169">
        <f>1-(E54/C54)^(1/(E$49-C$49))</f>
        <v>1.3964447319980589E-2</v>
      </c>
      <c r="K54" s="166">
        <f>1-(H54/E54)^(1/(H$49-E$49))</f>
        <v>-1.2564016370888442E-3</v>
      </c>
    </row>
    <row r="55" spans="1:11" ht="14.7" thickBot="1" x14ac:dyDescent="0.55000000000000004">
      <c r="J55" s="168"/>
      <c r="K55" s="44"/>
    </row>
    <row r="56" spans="1:11" x14ac:dyDescent="0.5">
      <c r="A56" s="3" t="s">
        <v>345</v>
      </c>
      <c r="B56" s="4"/>
      <c r="C56" s="4">
        <v>2016</v>
      </c>
      <c r="D56" s="4">
        <v>2017</v>
      </c>
      <c r="E56" s="29">
        <v>2020</v>
      </c>
      <c r="F56" s="29">
        <v>2025</v>
      </c>
      <c r="G56" s="29">
        <v>2030</v>
      </c>
      <c r="H56" s="4">
        <v>2050</v>
      </c>
      <c r="I56" s="4" t="s">
        <v>59</v>
      </c>
      <c r="J56" s="170"/>
      <c r="K56" s="167"/>
    </row>
    <row r="57" spans="1:11" x14ac:dyDescent="0.5">
      <c r="B57" s="3" t="s">
        <v>267</v>
      </c>
      <c r="C57" s="92">
        <f>C4</f>
        <v>1050</v>
      </c>
      <c r="D57" s="92">
        <v>650</v>
      </c>
      <c r="E57" s="102">
        <v>600</v>
      </c>
      <c r="F57" s="65">
        <f>$E57*(1-$K57)^(F56-E56)</f>
        <v>525.06661613956317</v>
      </c>
      <c r="G57" s="65">
        <f>$E57*(1-$K57)^(G56-E56)</f>
        <v>459.49158564041903</v>
      </c>
      <c r="H57" s="172"/>
      <c r="I57" t="s">
        <v>268</v>
      </c>
      <c r="J57" s="168">
        <f>1-(D57/C57)^(1/(D56-C56))</f>
        <v>0.38095238095238093</v>
      </c>
      <c r="K57" s="44">
        <f>1-(E57/D57)^(1/(E56-D56))</f>
        <v>2.6328111832561674E-2</v>
      </c>
    </row>
    <row r="58" spans="1:11" x14ac:dyDescent="0.5">
      <c r="B58" s="3" t="s">
        <v>269</v>
      </c>
      <c r="C58" s="92">
        <f>C5</f>
        <v>0</v>
      </c>
      <c r="D58" s="172"/>
      <c r="E58" s="94"/>
      <c r="F58" s="94"/>
      <c r="G58" s="94"/>
      <c r="H58" s="95"/>
      <c r="I58" t="s">
        <v>61</v>
      </c>
      <c r="J58" s="168"/>
      <c r="K58" s="44"/>
    </row>
    <row r="59" spans="1:11" x14ac:dyDescent="0.5">
      <c r="B59" s="3" t="s">
        <v>259</v>
      </c>
      <c r="C59" s="92">
        <f>C6</f>
        <v>10000</v>
      </c>
      <c r="D59" s="95"/>
      <c r="E59" s="63"/>
      <c r="F59" s="63"/>
      <c r="G59" s="63"/>
      <c r="H59" s="40"/>
      <c r="I59" t="s">
        <v>105</v>
      </c>
      <c r="J59" s="168"/>
      <c r="K59" s="44"/>
    </row>
    <row r="60" spans="1:11" x14ac:dyDescent="0.5">
      <c r="B60" s="3" t="s">
        <v>260</v>
      </c>
      <c r="C60" s="92">
        <f>C7</f>
        <v>15</v>
      </c>
      <c r="D60" s="95"/>
      <c r="E60" s="63"/>
      <c r="F60" s="63"/>
      <c r="G60" s="63"/>
      <c r="H60" s="39"/>
      <c r="I60" t="s">
        <v>64</v>
      </c>
      <c r="J60" s="168"/>
      <c r="K60" s="44"/>
    </row>
    <row r="61" spans="1:11" ht="14.7" thickBot="1" x14ac:dyDescent="0.55000000000000004">
      <c r="B61" s="5" t="s">
        <v>65</v>
      </c>
      <c r="C61" s="93">
        <f>C8</f>
        <v>96</v>
      </c>
      <c r="D61" s="173"/>
      <c r="E61" s="67"/>
      <c r="F61" s="67"/>
      <c r="G61" s="67"/>
      <c r="H61" s="41"/>
      <c r="I61" s="6" t="s">
        <v>66</v>
      </c>
      <c r="J61" s="169"/>
      <c r="K61" s="166"/>
    </row>
    <row r="62" spans="1:11" ht="14.7" thickBot="1" x14ac:dyDescent="0.55000000000000004"/>
    <row r="63" spans="1:11" x14ac:dyDescent="0.5">
      <c r="A63" s="3" t="s">
        <v>367</v>
      </c>
      <c r="B63" s="4"/>
      <c r="C63" s="4">
        <v>2016</v>
      </c>
      <c r="D63" s="4">
        <v>2025</v>
      </c>
      <c r="E63" s="4">
        <v>2030</v>
      </c>
      <c r="F63" s="4" t="s">
        <v>59</v>
      </c>
      <c r="G63" s="170" t="s">
        <v>322</v>
      </c>
      <c r="H63" s="167" t="s">
        <v>323</v>
      </c>
    </row>
    <row r="64" spans="1:11" x14ac:dyDescent="0.5">
      <c r="B64" s="3" t="s">
        <v>267</v>
      </c>
      <c r="C64" s="92">
        <f>C4</f>
        <v>1050</v>
      </c>
      <c r="D64" s="92">
        <v>400</v>
      </c>
      <c r="E64" s="65">
        <f>D64*(1-G64)^($E$63-$D$63)</f>
        <v>233.99704656253792</v>
      </c>
      <c r="F64" t="s">
        <v>268</v>
      </c>
      <c r="G64" s="168">
        <f>1-(D64/C64)^(1/($D$63-$C$63))</f>
        <v>0.1016820517189051</v>
      </c>
      <c r="H64" s="44"/>
    </row>
    <row r="65" spans="1:9" x14ac:dyDescent="0.5">
      <c r="B65" s="3" t="s">
        <v>269</v>
      </c>
      <c r="C65" s="92">
        <f>C5</f>
        <v>0</v>
      </c>
      <c r="D65" s="95"/>
      <c r="E65" s="95"/>
      <c r="F65" t="s">
        <v>61</v>
      </c>
      <c r="G65" s="168"/>
      <c r="H65" s="44"/>
    </row>
    <row r="66" spans="1:9" x14ac:dyDescent="0.5">
      <c r="B66" s="3" t="s">
        <v>259</v>
      </c>
      <c r="C66" s="92">
        <f>C6</f>
        <v>10000</v>
      </c>
      <c r="D66" s="92">
        <v>25000</v>
      </c>
      <c r="E66" s="65">
        <f t="shared" ref="E66:E67" si="3">D66*(1-G66)^($E$63-$D$63)</f>
        <v>41592.764899865528</v>
      </c>
      <c r="F66" t="s">
        <v>105</v>
      </c>
      <c r="G66" s="168">
        <f t="shared" ref="G66" si="4">1-(D66/C66)^(1/($D$63-$C$63))</f>
        <v>-0.10717317888991107</v>
      </c>
      <c r="H66" s="44"/>
    </row>
    <row r="67" spans="1:9" x14ac:dyDescent="0.5">
      <c r="B67" s="3" t="s">
        <v>260</v>
      </c>
      <c r="C67" s="92">
        <f>C7</f>
        <v>15</v>
      </c>
      <c r="D67" s="92">
        <v>25</v>
      </c>
      <c r="E67" s="65">
        <f t="shared" si="3"/>
        <v>33.203916574348895</v>
      </c>
      <c r="F67" t="s">
        <v>64</v>
      </c>
      <c r="G67" s="168">
        <f>1-(D67/C67)^(1/($D$63-$C$63))</f>
        <v>-5.840007284126747E-2</v>
      </c>
      <c r="H67" s="44"/>
    </row>
    <row r="68" spans="1:9" ht="14.7" thickBot="1" x14ac:dyDescent="0.55000000000000004">
      <c r="B68" s="5" t="s">
        <v>65</v>
      </c>
      <c r="C68" s="93">
        <f t="shared" ref="C68" si="5">C8</f>
        <v>96</v>
      </c>
      <c r="D68" s="173"/>
      <c r="E68" s="173"/>
      <c r="F68" s="6" t="s">
        <v>66</v>
      </c>
      <c r="G68" s="169"/>
      <c r="H68" s="166"/>
    </row>
    <row r="69" spans="1:9" ht="14.7" thickBot="1" x14ac:dyDescent="0.55000000000000004"/>
    <row r="70" spans="1:9" x14ac:dyDescent="0.5">
      <c r="A70" s="3" t="s">
        <v>368</v>
      </c>
      <c r="B70" s="4"/>
      <c r="C70" s="4">
        <v>2016</v>
      </c>
      <c r="D70" s="4">
        <v>2025</v>
      </c>
      <c r="E70" s="4">
        <v>2030</v>
      </c>
      <c r="F70" s="4" t="s">
        <v>59</v>
      </c>
      <c r="G70" s="170" t="s">
        <v>322</v>
      </c>
      <c r="H70" s="167" t="s">
        <v>323</v>
      </c>
    </row>
    <row r="71" spans="1:9" x14ac:dyDescent="0.5">
      <c r="B71" s="3" t="s">
        <v>267</v>
      </c>
      <c r="C71" s="92">
        <f>C4</f>
        <v>1050</v>
      </c>
      <c r="D71" s="92">
        <v>550</v>
      </c>
      <c r="E71" s="65">
        <f>D71*(1-G71)^($E$70-$D$70)</f>
        <v>384.01475041124388</v>
      </c>
      <c r="F71" t="s">
        <v>268</v>
      </c>
      <c r="G71" s="168">
        <f>1-(D71/C71)^(1/($D$70-$C$70))</f>
        <v>6.9327152756842314E-2</v>
      </c>
      <c r="H71" s="44"/>
    </row>
    <row r="72" spans="1:9" x14ac:dyDescent="0.5">
      <c r="B72" s="3" t="s">
        <v>269</v>
      </c>
      <c r="C72" s="92">
        <f>C5</f>
        <v>0</v>
      </c>
      <c r="D72" s="95"/>
      <c r="E72" s="95"/>
      <c r="F72" t="s">
        <v>61</v>
      </c>
      <c r="G72" s="168"/>
      <c r="H72" s="44"/>
    </row>
    <row r="73" spans="1:9" x14ac:dyDescent="0.5">
      <c r="B73" s="3" t="s">
        <v>259</v>
      </c>
      <c r="C73" s="92">
        <f>C6</f>
        <v>10000</v>
      </c>
      <c r="D73" s="92">
        <v>17500</v>
      </c>
      <c r="E73" s="65">
        <f>D73*(1-G73)^($E$70-$D$70)</f>
        <v>23881.367225714363</v>
      </c>
      <c r="F73" t="s">
        <v>105</v>
      </c>
      <c r="G73" s="168">
        <f>1-(D73/C73)^(1/($D$70-$C$70))</f>
        <v>-6.4153377155776292E-2</v>
      </c>
      <c r="H73" s="44"/>
    </row>
    <row r="74" spans="1:9" x14ac:dyDescent="0.5">
      <c r="B74" s="3" t="s">
        <v>260</v>
      </c>
      <c r="C74" s="92">
        <f>C7</f>
        <v>15</v>
      </c>
      <c r="D74" s="95"/>
      <c r="E74" s="95"/>
      <c r="F74" t="s">
        <v>64</v>
      </c>
      <c r="G74" s="168"/>
      <c r="H74" s="44"/>
    </row>
    <row r="75" spans="1:9" ht="14.7" thickBot="1" x14ac:dyDescent="0.55000000000000004">
      <c r="B75" s="5" t="s">
        <v>65</v>
      </c>
      <c r="C75" s="93">
        <f t="shared" ref="C75" si="6">C8</f>
        <v>96</v>
      </c>
      <c r="D75" s="173"/>
      <c r="E75" s="173"/>
      <c r="F75" s="6" t="s">
        <v>66</v>
      </c>
      <c r="G75" s="169"/>
      <c r="H75" s="166"/>
    </row>
    <row r="76" spans="1:9" ht="14.7" thickBot="1" x14ac:dyDescent="0.55000000000000004"/>
    <row r="77" spans="1:9" x14ac:dyDescent="0.5">
      <c r="A77" s="3" t="s">
        <v>408</v>
      </c>
      <c r="B77" s="4"/>
      <c r="C77" s="4">
        <v>2016</v>
      </c>
      <c r="D77" s="4">
        <v>2022</v>
      </c>
      <c r="E77" s="4">
        <v>2025</v>
      </c>
      <c r="F77" s="4">
        <v>2030</v>
      </c>
      <c r="G77" s="4" t="s">
        <v>59</v>
      </c>
      <c r="H77" s="170" t="s">
        <v>322</v>
      </c>
      <c r="I77" s="167" t="s">
        <v>323</v>
      </c>
    </row>
    <row r="78" spans="1:9" x14ac:dyDescent="0.5">
      <c r="B78" s="3" t="s">
        <v>267</v>
      </c>
      <c r="C78" s="92">
        <f>C4</f>
        <v>1050</v>
      </c>
      <c r="D78" s="95"/>
      <c r="E78" s="95"/>
      <c r="F78" s="95"/>
      <c r="G78" t="s">
        <v>268</v>
      </c>
      <c r="H78" s="168"/>
      <c r="I78" s="44"/>
    </row>
    <row r="79" spans="1:9" x14ac:dyDescent="0.5">
      <c r="B79" s="3" t="s">
        <v>269</v>
      </c>
      <c r="C79" s="92">
        <f>C5</f>
        <v>0</v>
      </c>
      <c r="D79" s="95"/>
      <c r="E79" s="95"/>
      <c r="F79" s="95"/>
      <c r="G79" t="s">
        <v>61</v>
      </c>
      <c r="H79" s="168"/>
      <c r="I79" s="44"/>
    </row>
    <row r="80" spans="1:9" x14ac:dyDescent="0.5">
      <c r="B80" s="3" t="s">
        <v>259</v>
      </c>
      <c r="C80" s="92">
        <f t="shared" ref="C80:C81" si="7">C6</f>
        <v>10000</v>
      </c>
      <c r="D80" s="92">
        <v>6400</v>
      </c>
      <c r="E80" s="92">
        <f>6400</f>
        <v>6400</v>
      </c>
      <c r="F80" s="92">
        <f>6400</f>
        <v>6400</v>
      </c>
      <c r="G80" t="s">
        <v>105</v>
      </c>
      <c r="H80" s="168" t="s">
        <v>47</v>
      </c>
      <c r="I80" s="44"/>
    </row>
    <row r="81" spans="1:9" x14ac:dyDescent="0.5">
      <c r="B81" s="3" t="s">
        <v>260</v>
      </c>
      <c r="C81" s="92">
        <f t="shared" si="7"/>
        <v>15</v>
      </c>
      <c r="D81" s="95"/>
      <c r="E81" s="95"/>
      <c r="F81" s="95"/>
      <c r="G81" t="s">
        <v>64</v>
      </c>
      <c r="H81" s="168"/>
      <c r="I81" s="44"/>
    </row>
    <row r="82" spans="1:9" ht="14.7" thickBot="1" x14ac:dyDescent="0.55000000000000004">
      <c r="B82" s="5" t="s">
        <v>65</v>
      </c>
      <c r="C82" s="93">
        <f>C8</f>
        <v>96</v>
      </c>
      <c r="D82" s="173"/>
      <c r="E82" s="173"/>
      <c r="F82" s="173"/>
      <c r="G82" s="6" t="s">
        <v>66</v>
      </c>
      <c r="H82" s="169"/>
      <c r="I82" s="166"/>
    </row>
    <row r="83" spans="1:9" ht="14.7" thickBot="1" x14ac:dyDescent="0.55000000000000004">
      <c r="B83" s="3"/>
      <c r="C83" s="92"/>
      <c r="D83" s="92"/>
      <c r="E83" s="92"/>
      <c r="F83" s="92"/>
      <c r="G83" s="92"/>
      <c r="H83" s="44"/>
      <c r="I83" s="44"/>
    </row>
    <row r="84" spans="1:9" x14ac:dyDescent="0.5">
      <c r="A84" s="3" t="s">
        <v>409</v>
      </c>
      <c r="B84" s="4"/>
      <c r="C84" s="4">
        <v>2016</v>
      </c>
      <c r="D84" s="4">
        <v>2022</v>
      </c>
      <c r="E84" s="4">
        <v>2025</v>
      </c>
      <c r="F84" s="4">
        <v>2030</v>
      </c>
      <c r="G84" s="4" t="s">
        <v>59</v>
      </c>
      <c r="H84" s="170" t="s">
        <v>322</v>
      </c>
      <c r="I84" s="167" t="s">
        <v>323</v>
      </c>
    </row>
    <row r="85" spans="1:9" x14ac:dyDescent="0.5">
      <c r="B85" s="3" t="s">
        <v>267</v>
      </c>
      <c r="C85" s="92">
        <f>C4</f>
        <v>1050</v>
      </c>
      <c r="D85" s="95"/>
      <c r="E85" s="198">
        <v>422</v>
      </c>
      <c r="F85" s="65">
        <f>C85*(1-H85)^(F84-C84)</f>
        <v>254.32020716699168</v>
      </c>
      <c r="G85" t="s">
        <v>268</v>
      </c>
      <c r="H85" s="168">
        <f>1-(E85/C85)^(1/(E84-C84))</f>
        <v>9.632205407226957E-2</v>
      </c>
      <c r="I85" s="44"/>
    </row>
    <row r="86" spans="1:9" x14ac:dyDescent="0.5">
      <c r="B86" s="3" t="s">
        <v>269</v>
      </c>
      <c r="C86" s="92">
        <f>C5</f>
        <v>0</v>
      </c>
      <c r="D86" s="95"/>
      <c r="E86" s="95"/>
      <c r="F86" s="95"/>
      <c r="G86" t="s">
        <v>61</v>
      </c>
      <c r="H86" s="168"/>
      <c r="I86" s="44"/>
    </row>
    <row r="87" spans="1:9" x14ac:dyDescent="0.5">
      <c r="B87" s="3" t="s">
        <v>259</v>
      </c>
      <c r="C87" s="92">
        <f>C6</f>
        <v>10000</v>
      </c>
      <c r="D87" s="95"/>
      <c r="E87" s="95"/>
      <c r="F87" s="95"/>
      <c r="G87" t="s">
        <v>105</v>
      </c>
      <c r="H87" s="168" t="s">
        <v>47</v>
      </c>
      <c r="I87" s="44"/>
    </row>
    <row r="88" spans="1:9" x14ac:dyDescent="0.5">
      <c r="B88" s="3" t="s">
        <v>260</v>
      </c>
      <c r="C88" s="92">
        <f>C7</f>
        <v>15</v>
      </c>
      <c r="D88" s="95"/>
      <c r="E88" s="95"/>
      <c r="F88" s="95"/>
      <c r="G88" t="s">
        <v>64</v>
      </c>
      <c r="H88" s="168"/>
      <c r="I88" s="44"/>
    </row>
    <row r="89" spans="1:9" x14ac:dyDescent="0.5">
      <c r="B89" s="3" t="s">
        <v>65</v>
      </c>
      <c r="C89" s="92">
        <f>C8</f>
        <v>96</v>
      </c>
      <c r="D89" s="95"/>
      <c r="E89" s="95"/>
      <c r="F89" s="95"/>
      <c r="G89" s="115" t="s">
        <v>66</v>
      </c>
      <c r="H89" s="44"/>
      <c r="I89" s="44"/>
    </row>
    <row r="90" spans="1:9" ht="14.7" thickBot="1" x14ac:dyDescent="0.55000000000000004">
      <c r="B90" s="5" t="s">
        <v>51</v>
      </c>
      <c r="C90" s="173"/>
      <c r="D90" s="173"/>
      <c r="E90" s="264">
        <f>1/25</f>
        <v>0.04</v>
      </c>
      <c r="F90" s="173"/>
      <c r="G90" s="187" t="s">
        <v>74</v>
      </c>
      <c r="H90" s="166"/>
      <c r="I90" s="166"/>
    </row>
    <row r="91" spans="1:9" ht="14.7" thickBot="1" x14ac:dyDescent="0.55000000000000004"/>
    <row r="92" spans="1:9" x14ac:dyDescent="0.5">
      <c r="A92" s="3" t="s">
        <v>483</v>
      </c>
      <c r="B92" s="4"/>
      <c r="C92" s="4">
        <v>2016</v>
      </c>
      <c r="D92" s="4">
        <v>2022</v>
      </c>
      <c r="E92" s="4">
        <v>2025</v>
      </c>
      <c r="F92" s="4">
        <v>2030</v>
      </c>
      <c r="G92" s="4" t="s">
        <v>59</v>
      </c>
      <c r="H92" s="170" t="s">
        <v>322</v>
      </c>
      <c r="I92" s="167" t="s">
        <v>323</v>
      </c>
    </row>
    <row r="93" spans="1:9" x14ac:dyDescent="0.5">
      <c r="B93" s="3" t="s">
        <v>267</v>
      </c>
      <c r="C93" s="92">
        <f>C4</f>
        <v>1050</v>
      </c>
      <c r="D93" s="95"/>
      <c r="E93" s="198">
        <v>422</v>
      </c>
      <c r="F93" s="65">
        <f>C93*(1-H93)^(F92-C92)</f>
        <v>254.32020716699168</v>
      </c>
      <c r="G93" t="s">
        <v>268</v>
      </c>
      <c r="H93" s="168">
        <f>1-(E93/C93)^(1/(E92-C92))</f>
        <v>9.632205407226957E-2</v>
      </c>
      <c r="I93" s="44"/>
    </row>
    <row r="94" spans="1:9" x14ac:dyDescent="0.5">
      <c r="B94" s="3" t="s">
        <v>269</v>
      </c>
      <c r="C94" s="92">
        <f>C5</f>
        <v>0</v>
      </c>
      <c r="D94" s="95"/>
      <c r="E94" s="95"/>
      <c r="F94" s="95"/>
      <c r="G94" t="s">
        <v>61</v>
      </c>
      <c r="H94" s="168"/>
      <c r="I94" s="44"/>
    </row>
    <row r="95" spans="1:9" x14ac:dyDescent="0.5">
      <c r="B95" s="3" t="s">
        <v>259</v>
      </c>
      <c r="C95" s="92">
        <f>C6</f>
        <v>10000</v>
      </c>
      <c r="D95" s="95"/>
      <c r="E95" s="95"/>
      <c r="F95" s="95"/>
      <c r="G95" t="s">
        <v>105</v>
      </c>
      <c r="H95" s="168" t="s">
        <v>47</v>
      </c>
      <c r="I95" s="44"/>
    </row>
    <row r="96" spans="1:9" x14ac:dyDescent="0.5">
      <c r="B96" s="3" t="s">
        <v>260</v>
      </c>
      <c r="C96" s="92">
        <f>C7</f>
        <v>15</v>
      </c>
      <c r="D96" s="95"/>
      <c r="E96" s="95"/>
      <c r="F96" s="95"/>
      <c r="G96" t="s">
        <v>64</v>
      </c>
      <c r="H96" s="168"/>
      <c r="I96" s="44"/>
    </row>
    <row r="97" spans="2:9" ht="14.7" thickBot="1" x14ac:dyDescent="0.55000000000000004">
      <c r="B97" s="5" t="s">
        <v>65</v>
      </c>
      <c r="C97" s="93">
        <f>C8</f>
        <v>96</v>
      </c>
      <c r="D97" s="173"/>
      <c r="E97" s="173"/>
      <c r="F97" s="173"/>
      <c r="G97" s="6" t="s">
        <v>66</v>
      </c>
      <c r="H97" s="169"/>
      <c r="I97" s="166"/>
    </row>
  </sheetData>
  <hyperlinks>
    <hyperlink ref="E17" r:id="rId1" xr:uid="{00000000-0004-0000-1800-000002000000}"/>
    <hyperlink ref="E18" r:id="rId2" xr:uid="{00000000-0004-0000-1800-000003000000}"/>
    <hyperlink ref="E19" r:id="rId3" xr:uid="{00000000-0004-0000-1800-000004000000}"/>
    <hyperlink ref="D22" r:id="rId4" tooltip="View all posts by Ana Lejtman" display="https://climatebiz.com/author/ana-lejtman/" xr:uid="{00000000-0004-0000-1800-000005000000}"/>
    <hyperlink ref="E20" r:id="rId5" xr:uid="{1E2BEAE2-7E2E-4679-8D77-EE663386387B}"/>
    <hyperlink ref="E15" r:id="rId6" xr:uid="{E9703EC6-3B55-4012-97BE-08F89DADF879}"/>
    <hyperlink ref="E23" r:id="rId7" xr:uid="{7688441C-19FA-4CE6-B645-737317A520AD}"/>
  </hyperlinks>
  <pageMargins left="0.7" right="0.7" top="0.75" bottom="0.75" header="0.3" footer="0.3"/>
  <pageSetup paperSize="9" orientation="portrait" r:id="rId8"/>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Tabelle25">
    <tabColor rgb="FFFFC000"/>
  </sheetPr>
  <dimension ref="B3:L18"/>
  <sheetViews>
    <sheetView workbookViewId="0">
      <selection activeCell="C13" sqref="C13"/>
    </sheetView>
  </sheetViews>
  <sheetFormatPr defaultColWidth="11.46875" defaultRowHeight="14.35" x14ac:dyDescent="0.5"/>
  <cols>
    <col min="2" max="2" width="27.64453125" bestFit="1" customWidth="1"/>
    <col min="12" max="12" width="20.17578125" bestFit="1" customWidth="1"/>
  </cols>
  <sheetData>
    <row r="3" spans="2:12" x14ac:dyDescent="0.5">
      <c r="C3" s="425">
        <v>2016</v>
      </c>
      <c r="D3" s="425"/>
      <c r="E3" s="425"/>
      <c r="F3" s="426">
        <v>2025</v>
      </c>
      <c r="G3" s="426"/>
      <c r="H3" s="426"/>
      <c r="I3" s="426">
        <v>2030</v>
      </c>
      <c r="J3" s="426"/>
      <c r="K3" s="426"/>
      <c r="L3" s="105"/>
    </row>
    <row r="4" spans="2:12" ht="18.350000000000001" thickBot="1" x14ac:dyDescent="0.65">
      <c r="B4" s="104" t="s">
        <v>484</v>
      </c>
      <c r="C4" s="106" t="s">
        <v>56</v>
      </c>
      <c r="D4" s="106" t="s">
        <v>57</v>
      </c>
      <c r="E4" s="106" t="s">
        <v>58</v>
      </c>
      <c r="F4" s="106" t="s">
        <v>56</v>
      </c>
      <c r="G4" s="106" t="s">
        <v>57</v>
      </c>
      <c r="H4" s="106" t="s">
        <v>58</v>
      </c>
      <c r="I4" s="106" t="s">
        <v>56</v>
      </c>
      <c r="J4" s="106" t="s">
        <v>57</v>
      </c>
      <c r="K4" s="106" t="s">
        <v>58</v>
      </c>
      <c r="L4" s="106" t="s">
        <v>59</v>
      </c>
    </row>
    <row r="5" spans="2:12" x14ac:dyDescent="0.5">
      <c r="B5" s="18" t="s">
        <v>255</v>
      </c>
      <c r="C5" s="81">
        <f>'Overview 2016 (in)'!J38</f>
        <v>620</v>
      </c>
      <c r="D5" s="19">
        <f>'Overview 2016 (in)'!K38</f>
        <v>200</v>
      </c>
      <c r="E5" s="20">
        <f>'Overview 2016 (in)'!L38</f>
        <v>350</v>
      </c>
      <c r="F5" s="81">
        <f t="shared" ref="F5:F15" si="0">IFERROR(C5*H5/E5,0)</f>
        <v>620</v>
      </c>
      <c r="G5" s="19">
        <f t="shared" ref="G5:G15" si="1">IFERROR(D5*H5/E5, 0)</f>
        <v>200</v>
      </c>
      <c r="H5" s="20">
        <f>E5</f>
        <v>350</v>
      </c>
      <c r="I5" s="81">
        <f>IFERROR(F5*K5/H5,0)</f>
        <v>620</v>
      </c>
      <c r="J5" s="19">
        <f>IFERROR(G5*K5/H5, 0)</f>
        <v>200</v>
      </c>
      <c r="K5" s="20">
        <f>H5</f>
        <v>350</v>
      </c>
      <c r="L5" s="21" t="s">
        <v>256</v>
      </c>
    </row>
    <row r="6" spans="2:12" x14ac:dyDescent="0.5">
      <c r="B6" s="3" t="s">
        <v>257</v>
      </c>
      <c r="C6" s="82">
        <f>'Overview 2016 (in)'!J39</f>
        <v>10000</v>
      </c>
      <c r="D6" s="83">
        <f>'Overview 2016 (in)'!K39</f>
        <v>100</v>
      </c>
      <c r="E6" s="84">
        <f>'Overview 2016 (in)'!L39</f>
        <v>3500</v>
      </c>
      <c r="F6" s="82">
        <f t="shared" si="0"/>
        <v>10000</v>
      </c>
      <c r="G6" s="83">
        <f t="shared" si="1"/>
        <v>100</v>
      </c>
      <c r="H6" s="84">
        <f>E6</f>
        <v>3500</v>
      </c>
      <c r="I6" s="82">
        <f t="shared" ref="I6:I15" si="2">IFERROR(F6*K6/H6,0)</f>
        <v>10000</v>
      </c>
      <c r="J6" s="83">
        <f t="shared" ref="J6:J13" si="3">IFERROR(G6*K6/H6, 0)</f>
        <v>100</v>
      </c>
      <c r="K6" s="84">
        <f>H6</f>
        <v>3500</v>
      </c>
      <c r="L6" s="22" t="s">
        <v>258</v>
      </c>
    </row>
    <row r="7" spans="2:12" x14ac:dyDescent="0.5">
      <c r="B7" s="18" t="s">
        <v>259</v>
      </c>
      <c r="C7" s="85">
        <f>'Overview 2016 (in)'!J40</f>
        <v>20000</v>
      </c>
      <c r="D7" s="23">
        <f>'Overview 2016 (in)'!K40</f>
        <v>5000</v>
      </c>
      <c r="E7" s="107">
        <f>'Overview 2016 (in)'!L40</f>
        <v>10000</v>
      </c>
      <c r="F7" s="85">
        <f t="shared" ca="1" si="0"/>
        <v>35000</v>
      </c>
      <c r="G7" s="23">
        <f t="shared" ca="1" si="1"/>
        <v>8750</v>
      </c>
      <c r="H7" s="107">
        <f ca="1">INDIRECT(ADDRESS(ROW($B6),COLUMN(D$4),1,,$B$4))</f>
        <v>17500</v>
      </c>
      <c r="I7" s="85">
        <f t="shared" ca="1" si="2"/>
        <v>48000</v>
      </c>
      <c r="J7" s="23">
        <f t="shared" ca="1" si="3"/>
        <v>12000</v>
      </c>
      <c r="K7" s="107">
        <f ca="1">INDIRECT(ADDRESS(ROW($B6),COLUMN($E4),1,,$B$4))</f>
        <v>24000</v>
      </c>
      <c r="L7" s="21" t="s">
        <v>105</v>
      </c>
    </row>
    <row r="8" spans="2:12" x14ac:dyDescent="0.5">
      <c r="B8" s="3" t="s">
        <v>260</v>
      </c>
      <c r="C8" s="86">
        <f>'Overview 2016 (in)'!J41</f>
        <v>20</v>
      </c>
      <c r="D8" s="87">
        <f>'Overview 2016 (in)'!K41</f>
        <v>10</v>
      </c>
      <c r="E8" s="109">
        <f>'Overview 2016 (in)'!L41</f>
        <v>15</v>
      </c>
      <c r="F8" s="86">
        <f t="shared" ca="1" si="0"/>
        <v>22.666666666666668</v>
      </c>
      <c r="G8" s="87">
        <f t="shared" ca="1" si="1"/>
        <v>11.333333333333334</v>
      </c>
      <c r="H8" s="109">
        <f ca="1">INDIRECT(ADDRESS(ROW($B7),COLUMN(D$4),1,,$B$4))</f>
        <v>17</v>
      </c>
      <c r="I8" s="86">
        <f t="shared" ca="1" si="2"/>
        <v>26.666666666666668</v>
      </c>
      <c r="J8" s="87">
        <f t="shared" ca="1" si="3"/>
        <v>13.333333333333334</v>
      </c>
      <c r="K8" s="109">
        <f ca="1">INDIRECT(ADDRESS(ROW($B7),COLUMN($E4),1,,$B$4))</f>
        <v>20</v>
      </c>
      <c r="L8" s="22" t="s">
        <v>64</v>
      </c>
    </row>
    <row r="9" spans="2:12" x14ac:dyDescent="0.5">
      <c r="B9" s="18" t="s">
        <v>81</v>
      </c>
      <c r="C9" s="85">
        <f>'Overview 2016 (in)'!J42</f>
        <v>100</v>
      </c>
      <c r="D9" s="23">
        <f>'Overview 2016 (in)'!K42</f>
        <v>84</v>
      </c>
      <c r="E9" s="24">
        <f>'Overview 2016 (in)'!L42</f>
        <v>95</v>
      </c>
      <c r="F9" s="85">
        <f t="shared" si="0"/>
        <v>100</v>
      </c>
      <c r="G9" s="23">
        <f t="shared" si="1"/>
        <v>84</v>
      </c>
      <c r="H9" s="24">
        <f>E9</f>
        <v>95</v>
      </c>
      <c r="I9" s="85">
        <f t="shared" si="2"/>
        <v>100</v>
      </c>
      <c r="J9" s="23">
        <f t="shared" si="3"/>
        <v>84</v>
      </c>
      <c r="K9" s="24">
        <f>H9</f>
        <v>95</v>
      </c>
      <c r="L9" s="21" t="s">
        <v>66</v>
      </c>
    </row>
    <row r="10" spans="2:12" x14ac:dyDescent="0.5">
      <c r="B10" s="3" t="s">
        <v>65</v>
      </c>
      <c r="C10" s="86">
        <f>'Overview 2016 (in)'!J43</f>
        <v>98</v>
      </c>
      <c r="D10" s="87">
        <f>'Overview 2016 (in)'!K43</f>
        <v>80</v>
      </c>
      <c r="E10" s="109">
        <f>'Overview 2016 (in)'!L43</f>
        <v>96</v>
      </c>
      <c r="F10" s="86">
        <f t="shared" ca="1" si="0"/>
        <v>98</v>
      </c>
      <c r="G10" s="87">
        <f t="shared" ca="1" si="1"/>
        <v>80</v>
      </c>
      <c r="H10" s="109">
        <f ca="1">INDIRECT(ADDRESS(ROW($B8),COLUMN(D$4),1,,$B$4))</f>
        <v>96</v>
      </c>
      <c r="I10" s="86">
        <f t="shared" ca="1" si="2"/>
        <v>98</v>
      </c>
      <c r="J10" s="87">
        <f t="shared" ca="1" si="3"/>
        <v>80</v>
      </c>
      <c r="K10" s="109">
        <f ca="1">INDIRECT(ADDRESS(ROW($B8),COLUMN($E4),1,,$B$4))</f>
        <v>96</v>
      </c>
      <c r="L10" s="22" t="s">
        <v>66</v>
      </c>
    </row>
    <row r="11" spans="2:12" x14ac:dyDescent="0.5">
      <c r="B11" s="18" t="s">
        <v>137</v>
      </c>
      <c r="C11" s="81">
        <f>'Overview 2016 (in)'!J44</f>
        <v>0.09</v>
      </c>
      <c r="D11" s="19">
        <f>'Overview 2016 (in)'!K44</f>
        <v>0.36</v>
      </c>
      <c r="E11" s="20">
        <f>'Overview 2016 (in)'!L44</f>
        <v>0.05</v>
      </c>
      <c r="F11" s="81">
        <f t="shared" si="0"/>
        <v>8.9999999999999983E-2</v>
      </c>
      <c r="G11" s="19">
        <f t="shared" si="1"/>
        <v>0.35999999999999993</v>
      </c>
      <c r="H11" s="20">
        <f>E11</f>
        <v>0.05</v>
      </c>
      <c r="I11" s="81">
        <f t="shared" si="2"/>
        <v>8.9999999999999983E-2</v>
      </c>
      <c r="J11" s="19">
        <f t="shared" si="3"/>
        <v>0.35999999999999993</v>
      </c>
      <c r="K11" s="20">
        <f>H11</f>
        <v>0.05</v>
      </c>
      <c r="L11" s="21" t="s">
        <v>261</v>
      </c>
    </row>
    <row r="12" spans="2:12" x14ac:dyDescent="0.5">
      <c r="B12" s="28" t="s">
        <v>262</v>
      </c>
      <c r="C12" s="82">
        <f>'Overview 2016 (in)'!J45</f>
        <v>3.0000000000000001E-3</v>
      </c>
      <c r="D12" s="83">
        <f>'Overview 2016 (in)'!K45</f>
        <v>1</v>
      </c>
      <c r="E12" s="84">
        <f>'Overview 2016 (in)'!L45</f>
        <v>0.01</v>
      </c>
      <c r="F12" s="82">
        <f t="shared" si="0"/>
        <v>3.0000000000000001E-3</v>
      </c>
      <c r="G12" s="83">
        <f t="shared" si="1"/>
        <v>1</v>
      </c>
      <c r="H12" s="84">
        <f>E12</f>
        <v>0.01</v>
      </c>
      <c r="I12" s="82">
        <f t="shared" si="2"/>
        <v>3.0000000000000001E-3</v>
      </c>
      <c r="J12" s="83">
        <f t="shared" si="3"/>
        <v>1</v>
      </c>
      <c r="K12" s="84">
        <f>H12</f>
        <v>0.01</v>
      </c>
      <c r="L12" s="88" t="s">
        <v>265</v>
      </c>
    </row>
    <row r="13" spans="2:12" x14ac:dyDescent="0.5">
      <c r="B13" s="89" t="s">
        <v>266</v>
      </c>
      <c r="C13" s="90">
        <f>'Overview 2016 (in)'!J46</f>
        <v>0</v>
      </c>
      <c r="D13" s="25">
        <f>'Overview 2016 (in)'!K46</f>
        <v>0</v>
      </c>
      <c r="E13" s="26">
        <f>'Overview 2016 (in)'!L46</f>
        <v>0</v>
      </c>
      <c r="F13" s="90">
        <f t="shared" si="0"/>
        <v>0</v>
      </c>
      <c r="G13" s="25">
        <f t="shared" si="1"/>
        <v>0</v>
      </c>
      <c r="H13" s="26">
        <f>E13</f>
        <v>0</v>
      </c>
      <c r="I13" s="90">
        <f t="shared" si="2"/>
        <v>0</v>
      </c>
      <c r="J13" s="25">
        <f t="shared" si="3"/>
        <v>0</v>
      </c>
      <c r="K13" s="26">
        <f>H13</f>
        <v>0</v>
      </c>
      <c r="L13" s="21" t="s">
        <v>64</v>
      </c>
    </row>
    <row r="14" spans="2:12" x14ac:dyDescent="0.5">
      <c r="B14" s="28" t="s">
        <v>267</v>
      </c>
      <c r="C14" s="86">
        <f>'Overview 2016 (in)'!J47</f>
        <v>472.5</v>
      </c>
      <c r="D14" s="87">
        <f>'Overview 2016 (in)'!K47</f>
        <v>1260</v>
      </c>
      <c r="E14" s="108">
        <f>'Overview 2016 (in)'!L47</f>
        <v>1050</v>
      </c>
      <c r="F14" s="86">
        <f t="shared" ca="1" si="0"/>
        <v>189.9</v>
      </c>
      <c r="G14" s="87">
        <f t="shared" ca="1" si="1"/>
        <v>506.4</v>
      </c>
      <c r="H14" s="108">
        <f ca="1">IF(CELL("format",INDIRECT(ADDRESS(ROW($B4),COLUMN(D$4),1,,$B$4)))="W0-",INDIRECT(ADDRESS(ROW($B4),COLUMN(D$4),1,,$B$4))*'Overview 2016 (in)'!$O$7,INDIRECT(ADDRESS(ROW($B4),COLUMN(D$4),1,,$B$4)))</f>
        <v>422</v>
      </c>
      <c r="I14" s="86">
        <f t="shared" ca="1" si="2"/>
        <v>114.3</v>
      </c>
      <c r="J14" s="87">
        <f t="shared" ref="J14:J15" ca="1" si="4">IFERROR(G14*K14/H14,0)</f>
        <v>304.79999999999995</v>
      </c>
      <c r="K14" s="108">
        <f ca="1">IF(CELL("format",INDIRECT(ADDRESS(ROW($B4),COLUMN($E4),1,,$B$4)))="W0-",INDIRECT(ADDRESS(ROW($B4),COLUMN($E4),1,,$B$4))*'Overview 2016 (in)'!$O$7,INDIRECT(ADDRESS(ROW($B4),COLUMN($E4),1,,$B$4)))</f>
        <v>254</v>
      </c>
      <c r="L14" s="88" t="s">
        <v>268</v>
      </c>
    </row>
    <row r="15" spans="2:12" x14ac:dyDescent="0.5">
      <c r="B15" s="89" t="s">
        <v>269</v>
      </c>
      <c r="C15" s="23">
        <f>'Overview 2016 (in)'!J48</f>
        <v>0</v>
      </c>
      <c r="D15" s="23">
        <f>'Overview 2016 (in)'!K48</f>
        <v>0</v>
      </c>
      <c r="E15" s="107">
        <f>'Overview 2016 (in)'!L48</f>
        <v>0</v>
      </c>
      <c r="F15" s="23">
        <f t="shared" ca="1" si="0"/>
        <v>0</v>
      </c>
      <c r="G15" s="23">
        <f t="shared" ca="1" si="1"/>
        <v>0</v>
      </c>
      <c r="H15" s="107">
        <f ca="1">IF(CELL("format",INDIRECT(ADDRESS(ROW($B5),COLUMN(E$4),1,,$B$4)))="W0-",INDIRECT(ADDRESS(ROW($B5),COLUMN(E$4),1,,$B$4))*'Overview 2016 (in)'!$O$7,INDIRECT(ADDRESS(ROW($B5),COLUMN(E$4),1,,$B$4)))</f>
        <v>50</v>
      </c>
      <c r="I15" s="23">
        <f t="shared" ca="1" si="2"/>
        <v>0</v>
      </c>
      <c r="J15" s="23">
        <f t="shared" ca="1" si="4"/>
        <v>0</v>
      </c>
      <c r="K15" s="107">
        <f ca="1">IF(CELL("format",INDIRECT(ADDRESS(ROW($B5),COLUMN($E4),1,,$B$4)))="W0-",INDIRECT(ADDRESS(ROW($B5),COLUMN($E4),1,,$B$4))*'Overview 2016 (in)'!$O$7,INDIRECT(ADDRESS(ROW($B5),COLUMN($E4),1,,$B$4)))</f>
        <v>50</v>
      </c>
      <c r="L15" s="21" t="s">
        <v>61</v>
      </c>
    </row>
    <row r="16" spans="2:12" ht="14.7" thickBot="1" x14ac:dyDescent="0.55000000000000004">
      <c r="B16" s="245" t="s">
        <v>51</v>
      </c>
      <c r="C16" s="247">
        <f>'Li-Ion (Titanate) (calc)'!C9</f>
        <v>0.04</v>
      </c>
      <c r="D16" s="247">
        <f>C16</f>
        <v>0.04</v>
      </c>
      <c r="E16" s="246">
        <f t="shared" ref="E16:K16" si="5">D16</f>
        <v>0.04</v>
      </c>
      <c r="F16" s="247">
        <f t="shared" si="5"/>
        <v>0.04</v>
      </c>
      <c r="G16" s="247">
        <f t="shared" si="5"/>
        <v>0.04</v>
      </c>
      <c r="H16" s="246">
        <f t="shared" si="5"/>
        <v>0.04</v>
      </c>
      <c r="I16" s="247">
        <f t="shared" si="5"/>
        <v>0.04</v>
      </c>
      <c r="J16" s="247">
        <f t="shared" si="5"/>
        <v>0.04</v>
      </c>
      <c r="K16" s="246">
        <f t="shared" si="5"/>
        <v>0.04</v>
      </c>
      <c r="L16" s="135" t="s">
        <v>74</v>
      </c>
    </row>
    <row r="17" spans="2:3" x14ac:dyDescent="0.5">
      <c r="C17" s="111"/>
    </row>
    <row r="18" spans="2:3" ht="18" x14ac:dyDescent="0.6">
      <c r="B18" s="1"/>
    </row>
  </sheetData>
  <mergeCells count="3">
    <mergeCell ref="C3:E3"/>
    <mergeCell ref="F3:H3"/>
    <mergeCell ref="I3:K3"/>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A1:T175"/>
  <sheetViews>
    <sheetView zoomScale="70" zoomScaleNormal="70" workbookViewId="0"/>
  </sheetViews>
  <sheetFormatPr defaultColWidth="11.46875" defaultRowHeight="14.35" x14ac:dyDescent="0.5"/>
  <cols>
    <col min="1" max="1" width="11.46875" style="124"/>
    <col min="2" max="2" width="40" style="119" bestFit="1" customWidth="1"/>
    <col min="3" max="3" width="16.46875" style="124" customWidth="1"/>
    <col min="4" max="11" width="19.29296875" style="119" customWidth="1"/>
    <col min="12" max="12" width="20.17578125" style="119" bestFit="1" customWidth="1" collapsed="1"/>
    <col min="13" max="16384" width="11.46875" style="119"/>
  </cols>
  <sheetData>
    <row r="1" spans="1:20" x14ac:dyDescent="0.5">
      <c r="A1" s="330"/>
      <c r="B1" s="373"/>
      <c r="C1" s="330"/>
      <c r="D1" s="373"/>
      <c r="E1" s="373"/>
      <c r="F1" s="330"/>
      <c r="G1" s="330"/>
      <c r="H1" s="330"/>
      <c r="I1" s="330"/>
      <c r="J1" s="330"/>
      <c r="K1" s="330"/>
      <c r="L1" s="330"/>
      <c r="M1" s="124"/>
      <c r="N1" s="124"/>
      <c r="O1" s="124"/>
      <c r="P1" s="124"/>
      <c r="Q1" s="124"/>
      <c r="R1" s="124"/>
      <c r="S1" s="124"/>
      <c r="T1" s="124"/>
    </row>
    <row r="2" spans="1:20" ht="18" x14ac:dyDescent="0.6">
      <c r="A2" s="330"/>
      <c r="B2" s="374" t="s">
        <v>48</v>
      </c>
      <c r="C2" s="330"/>
      <c r="D2" s="330"/>
      <c r="E2" s="330"/>
      <c r="F2" s="330"/>
      <c r="G2" s="330"/>
      <c r="H2" s="330"/>
      <c r="I2" s="330"/>
      <c r="J2" s="330"/>
      <c r="K2" s="330"/>
      <c r="L2" s="330"/>
      <c r="M2" s="124"/>
      <c r="N2" s="124"/>
      <c r="O2" s="124"/>
      <c r="P2" s="124"/>
      <c r="Q2" s="124"/>
      <c r="R2" s="124"/>
      <c r="S2" s="124"/>
      <c r="T2" s="124"/>
    </row>
    <row r="3" spans="1:20" x14ac:dyDescent="0.5">
      <c r="A3" s="330"/>
      <c r="B3" s="330"/>
      <c r="C3" s="409">
        <f ca="1">INDIRECT(ADDRESS(ROW(B3),COLUMN(C1),1,,$B$4))</f>
        <v>2016</v>
      </c>
      <c r="D3" s="409"/>
      <c r="E3" s="409"/>
      <c r="F3" s="410">
        <f ca="1">INDIRECT(ADDRESS(ROW(F3),COLUMN(F1),1,,$B$4))</f>
        <v>2025</v>
      </c>
      <c r="G3" s="410"/>
      <c r="H3" s="410"/>
      <c r="I3" s="411">
        <f ca="1">INDIRECT(ADDRESS(ROW(I3),COLUMN(I1),1,,$B$4))</f>
        <v>2030</v>
      </c>
      <c r="J3" s="411"/>
      <c r="K3" s="411"/>
      <c r="L3" s="373"/>
      <c r="M3" s="124"/>
      <c r="N3" s="124"/>
      <c r="O3" s="124"/>
      <c r="P3" s="124"/>
      <c r="Q3" s="124"/>
      <c r="R3" s="124"/>
      <c r="S3" s="124"/>
      <c r="T3" s="124"/>
    </row>
    <row r="4" spans="1:20" ht="14.7" thickBot="1" x14ac:dyDescent="0.55000000000000004">
      <c r="A4" s="375" t="s">
        <v>49</v>
      </c>
      <c r="B4" s="390" t="s">
        <v>153</v>
      </c>
      <c r="C4" s="327" t="str">
        <f t="shared" ref="C4:C16" ca="1" si="0">INDIRECT(ADDRESS(ROW(B4),COLUMN(C2),1,,$B$4))</f>
        <v>best</v>
      </c>
      <c r="D4" s="327" t="str">
        <f t="shared" ref="D4:E4" ca="1" si="1">INDIRECT(ADDRESS(ROW(C4),COLUMN(D2),1,,$B$4))</f>
        <v>worst</v>
      </c>
      <c r="E4" s="327" t="str">
        <f t="shared" ca="1" si="1"/>
        <v>reference</v>
      </c>
      <c r="F4" s="328" t="str">
        <f ca="1">INDIRECT(ADDRESS(ROW(F4),COLUMN(F2),1,,$B$4))</f>
        <v>best</v>
      </c>
      <c r="G4" s="328" t="str">
        <f t="shared" ref="G4:L4" ca="1" si="2">INDIRECT(ADDRESS(ROW(F4),COLUMN(G2),1,,$B$4))</f>
        <v>worst</v>
      </c>
      <c r="H4" s="328" t="str">
        <f t="shared" ca="1" si="2"/>
        <v>reference</v>
      </c>
      <c r="I4" s="329" t="str">
        <f ca="1">INDIRECT(ADDRESS(ROW(B4),COLUMN(I2),1,,$B$4))</f>
        <v>best</v>
      </c>
      <c r="J4" s="329" t="str">
        <f t="shared" ca="1" si="2"/>
        <v>worst</v>
      </c>
      <c r="K4" s="329" t="str">
        <f t="shared" ca="1" si="2"/>
        <v>reference</v>
      </c>
      <c r="L4" s="376" t="str">
        <f t="shared" ca="1" si="2"/>
        <v>unit</v>
      </c>
      <c r="M4" s="124"/>
      <c r="N4" s="124"/>
      <c r="O4" s="124"/>
      <c r="P4" s="124"/>
      <c r="Q4" s="124"/>
      <c r="R4" s="124"/>
      <c r="S4" s="124"/>
      <c r="T4" s="124"/>
    </row>
    <row r="5" spans="1:20" x14ac:dyDescent="0.5">
      <c r="A5" s="330"/>
      <c r="B5" s="301" t="str">
        <f ca="1">INDIRECT(ADDRESS(ROW(A5),COLUMN(B2),1,,$B$4))</f>
        <v>Energy density</v>
      </c>
      <c r="C5" s="305">
        <f ca="1">INDIRECT(ADDRESS(ROW(B5),COLUMN(C3),1,,$B$4))</f>
        <v>620</v>
      </c>
      <c r="D5" s="305">
        <f t="shared" ref="D5:E5" ca="1" si="3">INDIRECT(ADDRESS(ROW(C5),COLUMN(D3),1,,$B$4))</f>
        <v>200</v>
      </c>
      <c r="E5" s="305">
        <f t="shared" ca="1" si="3"/>
        <v>350</v>
      </c>
      <c r="F5" s="306">
        <f ca="1">INDIRECT(ADDRESS(ROW(F5),COLUMN(F3),1,,$B$4))</f>
        <v>620</v>
      </c>
      <c r="G5" s="306">
        <f t="shared" ref="G5:H5" ca="1" si="4">INDIRECT(ADDRESS(ROW(F5),COLUMN(G3),1,,$B$4))</f>
        <v>200</v>
      </c>
      <c r="H5" s="306">
        <f t="shared" ca="1" si="4"/>
        <v>350</v>
      </c>
      <c r="I5" s="307">
        <f ca="1">INDIRECT(ADDRESS(ROW(H5),COLUMN(I3),1,,$B$4))</f>
        <v>620</v>
      </c>
      <c r="J5" s="307">
        <f ca="1">INDIRECT(ADDRESS(ROW(I5),COLUMN(J3),1,,$B$4))</f>
        <v>200</v>
      </c>
      <c r="K5" s="307">
        <f ca="1">INDIRECT(ADDRESS(ROW(J5),COLUMN(K3),1,,$B$4))</f>
        <v>350</v>
      </c>
      <c r="L5" s="330" t="str">
        <f ca="1">INDIRECT(ADDRESS(ROW(K5),COLUMN(L3),1,,$B$4))</f>
        <v>Wh/l</v>
      </c>
      <c r="M5" s="124"/>
      <c r="N5" s="124"/>
      <c r="O5" s="124"/>
      <c r="P5" s="124"/>
      <c r="Q5" s="124"/>
      <c r="R5" s="124"/>
      <c r="S5" s="124"/>
      <c r="T5" s="124"/>
    </row>
    <row r="6" spans="1:20" x14ac:dyDescent="0.5">
      <c r="A6" s="330"/>
      <c r="B6" s="301" t="str">
        <f t="shared" ref="B6" ca="1" si="5">INDIRECT(ADDRESS(ROW(A6),COLUMN(B4),1,,$B$4))</f>
        <v>Power density</v>
      </c>
      <c r="C6" s="305">
        <f ca="1">INDIRECT(ADDRESS(ROW(B6),COLUMN(C4),1,,$B$4))</f>
        <v>10000</v>
      </c>
      <c r="D6" s="305">
        <f t="shared" ref="D6:L6" ca="1" si="6">INDIRECT(ADDRESS(ROW(C6),COLUMN(D4),1,,$B$4))</f>
        <v>100</v>
      </c>
      <c r="E6" s="305">
        <f t="shared" ca="1" si="6"/>
        <v>3500</v>
      </c>
      <c r="F6" s="306">
        <f t="shared" ref="F6:F15" ca="1" si="7">INDIRECT(ADDRESS(ROW(F6),COLUMN(F4),1,,$B$4))</f>
        <v>10000</v>
      </c>
      <c r="G6" s="306">
        <f t="shared" ca="1" si="6"/>
        <v>100</v>
      </c>
      <c r="H6" s="306">
        <f t="shared" ca="1" si="6"/>
        <v>3500</v>
      </c>
      <c r="I6" s="307">
        <f t="shared" ca="1" si="6"/>
        <v>10000</v>
      </c>
      <c r="J6" s="307">
        <f t="shared" ca="1" si="6"/>
        <v>100</v>
      </c>
      <c r="K6" s="307">
        <f t="shared" ca="1" si="6"/>
        <v>3500</v>
      </c>
      <c r="L6" s="330" t="str">
        <f t="shared" ca="1" si="6"/>
        <v>W/l</v>
      </c>
      <c r="M6" s="124"/>
      <c r="N6" s="124"/>
      <c r="O6" s="124"/>
      <c r="P6" s="124"/>
      <c r="Q6" s="124"/>
      <c r="R6" s="124"/>
      <c r="S6" s="124"/>
      <c r="T6" s="124"/>
    </row>
    <row r="7" spans="1:20" x14ac:dyDescent="0.5">
      <c r="A7" s="330"/>
      <c r="B7" s="301" t="str">
        <f t="shared" ref="B7" ca="1" si="8">INDIRECT(ADDRESS(ROW(A7),COLUMN(B5),1,,$B$4))</f>
        <v>Cycle life</v>
      </c>
      <c r="C7" s="305">
        <f ca="1">INDIRECT(ADDRESS(ROW(B7),COLUMN(C5),1,,$B$4))</f>
        <v>10000</v>
      </c>
      <c r="D7" s="305">
        <f t="shared" ref="D7:L7" ca="1" si="9">INDIRECT(ADDRESS(ROW(C7),COLUMN(D5),1,,$B$4))</f>
        <v>1000</v>
      </c>
      <c r="E7" s="305">
        <f t="shared" ca="1" si="9"/>
        <v>2500</v>
      </c>
      <c r="F7" s="306">
        <f t="shared" ca="1" si="7"/>
        <v>20000</v>
      </c>
      <c r="G7" s="306">
        <f t="shared" ca="1" si="9"/>
        <v>2000</v>
      </c>
      <c r="H7" s="306">
        <f t="shared" ca="1" si="9"/>
        <v>5000</v>
      </c>
      <c r="I7" s="307">
        <f ca="1">INDIRECT(ADDRESS(ROW(H7),COLUMN(I5),1,,$B$4))</f>
        <v>30000</v>
      </c>
      <c r="J7" s="307">
        <f t="shared" ca="1" si="9"/>
        <v>3000</v>
      </c>
      <c r="K7" s="307">
        <f ca="1">INDIRECT(ADDRESS(ROW(J7),COLUMN(K5),1,,$B$4))</f>
        <v>7500</v>
      </c>
      <c r="L7" s="330" t="str">
        <f t="shared" ca="1" si="9"/>
        <v>equivalent full-cycles</v>
      </c>
      <c r="M7" s="124"/>
      <c r="N7" s="124"/>
      <c r="O7" s="124"/>
      <c r="P7" s="124"/>
      <c r="Q7" s="124"/>
      <c r="R7" s="124"/>
      <c r="S7" s="124"/>
      <c r="T7" s="124"/>
    </row>
    <row r="8" spans="1:20" x14ac:dyDescent="0.5">
      <c r="A8" s="330"/>
      <c r="B8" s="301" t="str">
        <f t="shared" ref="B8" ca="1" si="10">INDIRECT(ADDRESS(ROW(A8),COLUMN(B6),1,,$B$4))</f>
        <v>Calendar life</v>
      </c>
      <c r="C8" s="305">
        <f t="shared" ca="1" si="0"/>
        <v>20</v>
      </c>
      <c r="D8" s="305">
        <f t="shared" ref="D8:L8" ca="1" si="11">INDIRECT(ADDRESS(ROW(C8),COLUMN(D6),1,,$B$4))</f>
        <v>5</v>
      </c>
      <c r="E8" s="305">
        <f t="shared" ca="1" si="11"/>
        <v>12</v>
      </c>
      <c r="F8" s="306">
        <f ca="1">INDIRECT(ADDRESS(ROW(F8),COLUMN(F6),1,,$B$4))</f>
        <v>28.333333333333332</v>
      </c>
      <c r="G8" s="306">
        <f t="shared" ca="1" si="11"/>
        <v>7.083333333333333</v>
      </c>
      <c r="H8" s="306">
        <f ca="1">INDIRECT(ADDRESS(ROW(G8),COLUMN(H6),1,,$B$4))</f>
        <v>17</v>
      </c>
      <c r="I8" s="307">
        <f ca="1">INDIRECT(ADDRESS(ROW(H8),COLUMN(I6),1,,$B$4))</f>
        <v>33.333333333333329</v>
      </c>
      <c r="J8" s="307">
        <f t="shared" ca="1" si="11"/>
        <v>8.3333333333333321</v>
      </c>
      <c r="K8" s="307">
        <f t="shared" ca="1" si="11"/>
        <v>20</v>
      </c>
      <c r="L8" s="330" t="str">
        <f t="shared" ca="1" si="11"/>
        <v>a</v>
      </c>
      <c r="M8" s="124"/>
      <c r="N8" s="124"/>
      <c r="O8" s="124"/>
      <c r="P8" s="124"/>
      <c r="Q8" s="124"/>
      <c r="R8" s="124"/>
      <c r="S8" s="124"/>
      <c r="T8" s="124"/>
    </row>
    <row r="9" spans="1:20" x14ac:dyDescent="0.5">
      <c r="A9" s="330"/>
      <c r="B9" s="301" t="str">
        <f t="shared" ref="B9" ca="1" si="12">INDIRECT(ADDRESS(ROW(A9),COLUMN(B7),1,,$B$4))</f>
        <v>Depth of discharge</v>
      </c>
      <c r="C9" s="305">
        <f ca="1">INDIRECT(ADDRESS(ROW(B9),COLUMN(C7),1,,$B$4))</f>
        <v>100</v>
      </c>
      <c r="D9" s="305">
        <f t="shared" ref="D9:L9" ca="1" si="13">INDIRECT(ADDRESS(ROW(C9),COLUMN(D7),1,,$B$4))</f>
        <v>84</v>
      </c>
      <c r="E9" s="305">
        <f t="shared" ca="1" si="13"/>
        <v>90</v>
      </c>
      <c r="F9" s="306">
        <f t="shared" ca="1" si="7"/>
        <v>100</v>
      </c>
      <c r="G9" s="306">
        <f t="shared" ca="1" si="13"/>
        <v>84</v>
      </c>
      <c r="H9" s="306">
        <f t="shared" ca="1" si="13"/>
        <v>90</v>
      </c>
      <c r="I9" s="307">
        <f t="shared" ca="1" si="13"/>
        <v>100</v>
      </c>
      <c r="J9" s="307">
        <f t="shared" ca="1" si="13"/>
        <v>84</v>
      </c>
      <c r="K9" s="307">
        <f t="shared" ca="1" si="13"/>
        <v>90</v>
      </c>
      <c r="L9" s="330" t="str">
        <f t="shared" ca="1" si="13"/>
        <v>%</v>
      </c>
      <c r="M9" s="124"/>
      <c r="N9" s="124"/>
      <c r="O9" s="124"/>
      <c r="P9" s="124"/>
      <c r="Q9" s="124"/>
      <c r="R9" s="124"/>
      <c r="S9" s="124"/>
      <c r="T9" s="124"/>
    </row>
    <row r="10" spans="1:20" x14ac:dyDescent="0.5">
      <c r="A10" s="330"/>
      <c r="B10" s="301" t="str">
        <f t="shared" ref="B10" ca="1" si="14">INDIRECT(ADDRESS(ROW(A10),COLUMN(B8),1,,$B$4))</f>
        <v>Round-trip efficiency</v>
      </c>
      <c r="C10" s="305">
        <f ca="1">INDIRECT(ADDRESS(ROW(B10),COLUMN(C8),1,,$B$4))</f>
        <v>90</v>
      </c>
      <c r="D10" s="305">
        <f ca="1">INDIRECT(ADDRESS(ROW(C10),COLUMN(D8),1,,$B$4))</f>
        <v>81</v>
      </c>
      <c r="E10" s="305">
        <f t="shared" ref="E10:L10" ca="1" si="15">INDIRECT(ADDRESS(ROW(D10),COLUMN(E8),1,,$B$4))</f>
        <v>86</v>
      </c>
      <c r="F10" s="306">
        <f t="shared" ca="1" si="7"/>
        <v>96.279069767441854</v>
      </c>
      <c r="G10" s="306">
        <f t="shared" ca="1" si="15"/>
        <v>86.651162790697668</v>
      </c>
      <c r="H10" s="306">
        <f t="shared" ca="1" si="15"/>
        <v>92</v>
      </c>
      <c r="I10" s="307">
        <f t="shared" ca="1" si="15"/>
        <v>98.372093023255815</v>
      </c>
      <c r="J10" s="307">
        <f t="shared" ca="1" si="15"/>
        <v>88.534883720930225</v>
      </c>
      <c r="K10" s="307">
        <f t="shared" ca="1" si="15"/>
        <v>94</v>
      </c>
      <c r="L10" s="330" t="str">
        <f t="shared" ca="1" si="15"/>
        <v>%</v>
      </c>
      <c r="M10" s="124"/>
      <c r="N10" s="124"/>
      <c r="O10" s="124"/>
      <c r="P10" s="124"/>
      <c r="Q10" s="124"/>
      <c r="R10" s="124"/>
      <c r="S10" s="124"/>
      <c r="T10" s="124"/>
    </row>
    <row r="11" spans="1:20" x14ac:dyDescent="0.5">
      <c r="A11" s="330"/>
      <c r="B11" s="301" t="str">
        <f t="shared" ref="B11" ca="1" si="16">INDIRECT(ADDRESS(ROW(A11),COLUMN(B9),1,,$B$4))</f>
        <v>Self-discharge</v>
      </c>
      <c r="C11" s="305">
        <f t="shared" ca="1" si="0"/>
        <v>0.09</v>
      </c>
      <c r="D11" s="305">
        <f t="shared" ref="D11:L11" ca="1" si="17">INDIRECT(ADDRESS(ROW(C11),COLUMN(D9),1,,$B$4))</f>
        <v>0.36</v>
      </c>
      <c r="E11" s="305">
        <f t="shared" ca="1" si="17"/>
        <v>0.1</v>
      </c>
      <c r="F11" s="306">
        <f t="shared" ca="1" si="7"/>
        <v>8.9999999999999983E-2</v>
      </c>
      <c r="G11" s="306">
        <f t="shared" ca="1" si="17"/>
        <v>0.35999999999999993</v>
      </c>
      <c r="H11" s="306">
        <f t="shared" ca="1" si="17"/>
        <v>0.1</v>
      </c>
      <c r="I11" s="307">
        <f t="shared" ca="1" si="17"/>
        <v>8.9999999999999983E-2</v>
      </c>
      <c r="J11" s="307">
        <f t="shared" ca="1" si="17"/>
        <v>0.35999999999999993</v>
      </c>
      <c r="K11" s="307">
        <f t="shared" ca="1" si="17"/>
        <v>0.1</v>
      </c>
      <c r="L11" s="330" t="str">
        <f t="shared" ca="1" si="17"/>
        <v>% per day</v>
      </c>
      <c r="M11" s="124"/>
      <c r="N11" s="124"/>
      <c r="O11" s="124"/>
      <c r="P11" s="124"/>
      <c r="Q11" s="124"/>
      <c r="R11" s="124"/>
      <c r="S11" s="124"/>
      <c r="T11" s="124"/>
    </row>
    <row r="12" spans="1:20" x14ac:dyDescent="0.5">
      <c r="A12" s="330"/>
      <c r="B12" s="301" t="str">
        <f t="shared" ref="B12" ca="1" si="18">INDIRECT(ADDRESS(ROW(A12),COLUMN(B10),1,,$B$4))</f>
        <v>Power dynamic</v>
      </c>
      <c r="C12" s="308">
        <f t="shared" ca="1" si="0"/>
        <v>3.0000000000000001E-3</v>
      </c>
      <c r="D12" s="308">
        <f t="shared" ref="D12:L12" ca="1" si="19">INDIRECT(ADDRESS(ROW(C12),COLUMN(D10),1,,$B$4))</f>
        <v>1</v>
      </c>
      <c r="E12" s="308">
        <f t="shared" ca="1" si="19"/>
        <v>0.01</v>
      </c>
      <c r="F12" s="306">
        <f t="shared" ca="1" si="7"/>
        <v>3.0000000000000001E-3</v>
      </c>
      <c r="G12" s="306">
        <f t="shared" ca="1" si="19"/>
        <v>1</v>
      </c>
      <c r="H12" s="306">
        <f t="shared" ca="1" si="19"/>
        <v>0.01</v>
      </c>
      <c r="I12" s="307">
        <f t="shared" ca="1" si="19"/>
        <v>3.0000000000000001E-3</v>
      </c>
      <c r="J12" s="307">
        <f t="shared" ca="1" si="19"/>
        <v>1</v>
      </c>
      <c r="K12" s="307">
        <f t="shared" ca="1" si="19"/>
        <v>0.01</v>
      </c>
      <c r="L12" s="330" t="str">
        <f t="shared" ca="1" si="19"/>
        <v>s to rated power</v>
      </c>
      <c r="M12" s="124"/>
      <c r="N12" s="124"/>
      <c r="O12" s="124"/>
      <c r="P12" s="124"/>
      <c r="Q12" s="124"/>
      <c r="R12" s="124"/>
      <c r="S12" s="124"/>
      <c r="T12" s="124"/>
    </row>
    <row r="13" spans="1:20" x14ac:dyDescent="0.5">
      <c r="A13" s="330"/>
      <c r="B13" s="301" t="str">
        <f t="shared" ref="B13" ca="1" si="20">INDIRECT(ADDRESS(ROW(A13),COLUMN(B11),1,,$B$4))</f>
        <v>Planning &amp; Construction Time</v>
      </c>
      <c r="C13" s="305">
        <f t="shared" ca="1" si="0"/>
        <v>0</v>
      </c>
      <c r="D13" s="305">
        <f t="shared" ref="D13:L13" ca="1" si="21">INDIRECT(ADDRESS(ROW(C13),COLUMN(D11),1,,$B$4))</f>
        <v>0</v>
      </c>
      <c r="E13" s="305">
        <f t="shared" ca="1" si="21"/>
        <v>0</v>
      </c>
      <c r="F13" s="306">
        <f t="shared" ca="1" si="7"/>
        <v>0</v>
      </c>
      <c r="G13" s="306">
        <f t="shared" ca="1" si="21"/>
        <v>0</v>
      </c>
      <c r="H13" s="306">
        <f t="shared" ca="1" si="21"/>
        <v>0</v>
      </c>
      <c r="I13" s="307">
        <f t="shared" ca="1" si="21"/>
        <v>0</v>
      </c>
      <c r="J13" s="307">
        <f t="shared" ca="1" si="21"/>
        <v>0</v>
      </c>
      <c r="K13" s="307">
        <f t="shared" ca="1" si="21"/>
        <v>0</v>
      </c>
      <c r="L13" s="330" t="str">
        <f t="shared" ca="1" si="21"/>
        <v>a</v>
      </c>
      <c r="M13" s="124"/>
      <c r="N13" s="124"/>
      <c r="O13" s="124"/>
      <c r="P13" s="124"/>
      <c r="Q13" s="124"/>
      <c r="R13" s="124"/>
      <c r="S13" s="124"/>
      <c r="T13" s="124"/>
    </row>
    <row r="14" spans="1:20" x14ac:dyDescent="0.5">
      <c r="A14" s="330"/>
      <c r="B14" s="301" t="str">
        <f t="shared" ref="B14" ca="1" si="22">INDIRECT(ADDRESS(ROW(A14),COLUMN(B12),1,,$B$4))</f>
        <v>Energy installation cost</v>
      </c>
      <c r="C14" s="305">
        <f t="shared" ca="1" si="0"/>
        <v>199.5</v>
      </c>
      <c r="D14" s="305">
        <f t="shared" ref="D14:L14" ca="1" si="23">INDIRECT(ADDRESS(ROW(C14),COLUMN(D12),1,,$B$4))</f>
        <v>840</v>
      </c>
      <c r="E14" s="305">
        <f t="shared" ca="1" si="23"/>
        <v>577.5</v>
      </c>
      <c r="F14" s="306">
        <f t="shared" ca="1" si="7"/>
        <v>67.36363636363636</v>
      </c>
      <c r="G14" s="306">
        <f t="shared" ca="1" si="23"/>
        <v>283.63636363636363</v>
      </c>
      <c r="H14" s="306">
        <f t="shared" ca="1" si="23"/>
        <v>195</v>
      </c>
      <c r="I14" s="307">
        <f t="shared" ca="1" si="23"/>
        <v>36.963636363636361</v>
      </c>
      <c r="J14" s="307">
        <f t="shared" ca="1" si="23"/>
        <v>155.63636363636363</v>
      </c>
      <c r="K14" s="307">
        <f t="shared" ca="1" si="23"/>
        <v>107</v>
      </c>
      <c r="L14" s="330" t="str">
        <f t="shared" ca="1" si="23"/>
        <v>USD / kWh</v>
      </c>
      <c r="M14" s="124"/>
      <c r="N14" s="124"/>
      <c r="O14" s="124"/>
      <c r="P14" s="124"/>
      <c r="Q14" s="124"/>
      <c r="R14" s="124"/>
      <c r="S14" s="124"/>
      <c r="T14" s="124"/>
    </row>
    <row r="15" spans="1:20" x14ac:dyDescent="0.5">
      <c r="A15" s="330"/>
      <c r="B15" s="301" t="str">
        <f ca="1">INDIRECT(ADDRESS(ROW(A15),COLUMN(B13),1,,$B$4))</f>
        <v>Power installation cost</v>
      </c>
      <c r="C15" s="305">
        <f t="shared" ca="1" si="0"/>
        <v>0</v>
      </c>
      <c r="D15" s="305">
        <f t="shared" ref="D15:L16" ca="1" si="24">INDIRECT(ADDRESS(ROW(C15),COLUMN(D13),1,,$B$4))</f>
        <v>0</v>
      </c>
      <c r="E15" s="305">
        <f t="shared" ca="1" si="24"/>
        <v>0</v>
      </c>
      <c r="F15" s="306">
        <f t="shared" ca="1" si="7"/>
        <v>0</v>
      </c>
      <c r="G15" s="306">
        <f t="shared" ca="1" si="24"/>
        <v>0</v>
      </c>
      <c r="H15" s="306">
        <f t="shared" ca="1" si="24"/>
        <v>0</v>
      </c>
      <c r="I15" s="307">
        <f t="shared" ca="1" si="24"/>
        <v>0</v>
      </c>
      <c r="J15" s="307">
        <f t="shared" ca="1" si="24"/>
        <v>0</v>
      </c>
      <c r="K15" s="307">
        <f t="shared" ca="1" si="24"/>
        <v>0</v>
      </c>
      <c r="L15" s="330" t="str">
        <f t="shared" ca="1" si="24"/>
        <v>USD / kW</v>
      </c>
      <c r="M15" s="124"/>
      <c r="N15" s="124"/>
      <c r="O15" s="124"/>
      <c r="P15" s="124"/>
      <c r="Q15" s="124"/>
      <c r="R15" s="124"/>
      <c r="S15" s="124"/>
      <c r="T15" s="124"/>
    </row>
    <row r="16" spans="1:20" x14ac:dyDescent="0.5">
      <c r="A16" s="330"/>
      <c r="B16" s="301" t="s">
        <v>51</v>
      </c>
      <c r="C16" s="305">
        <f t="shared" ca="1" si="0"/>
        <v>0.33333333333333331</v>
      </c>
      <c r="D16" s="305">
        <f t="shared" ca="1" si="24"/>
        <v>1</v>
      </c>
      <c r="E16" s="305">
        <f t="shared" ca="1" si="24"/>
        <v>0.66666666666666663</v>
      </c>
      <c r="F16" s="306">
        <f t="shared" ref="F16" ca="1" si="25">INDIRECT(ADDRESS(ROW(E16),COLUMN(F14),1,,$B$4))</f>
        <v>0.33333333333333331</v>
      </c>
      <c r="G16" s="306">
        <f t="shared" ca="1" si="24"/>
        <v>1</v>
      </c>
      <c r="H16" s="306">
        <f t="shared" ca="1" si="24"/>
        <v>0.66666666666666663</v>
      </c>
      <c r="I16" s="307">
        <f t="shared" ca="1" si="24"/>
        <v>0.33333333333333331</v>
      </c>
      <c r="J16" s="307">
        <f t="shared" ca="1" si="24"/>
        <v>1</v>
      </c>
      <c r="K16" s="307">
        <f t="shared" ca="1" si="24"/>
        <v>0.66666666666666663</v>
      </c>
      <c r="L16" s="377" t="str">
        <f t="shared" ca="1" si="24"/>
        <v>h</v>
      </c>
      <c r="M16" s="124"/>
      <c r="N16" s="124"/>
      <c r="O16" s="124"/>
      <c r="P16" s="124"/>
      <c r="Q16" s="124"/>
      <c r="R16" s="124"/>
      <c r="S16" s="124"/>
      <c r="T16" s="124"/>
    </row>
    <row r="17" spans="1:20" x14ac:dyDescent="0.5">
      <c r="B17" s="124"/>
      <c r="C17" s="13"/>
      <c r="D17" s="13"/>
      <c r="E17" s="13"/>
      <c r="F17" s="13"/>
      <c r="G17" s="13"/>
      <c r="H17" s="13"/>
      <c r="I17" s="13"/>
      <c r="J17" s="13"/>
      <c r="K17" s="13"/>
      <c r="L17" s="13"/>
      <c r="M17" s="124"/>
      <c r="N17" s="124"/>
      <c r="O17" s="124"/>
      <c r="P17" s="124"/>
      <c r="Q17" s="124"/>
      <c r="R17" s="124"/>
      <c r="S17" s="124"/>
      <c r="T17" s="124"/>
    </row>
    <row r="18" spans="1:20" x14ac:dyDescent="0.5">
      <c r="C18" s="13"/>
      <c r="D18" s="13"/>
      <c r="E18" s="13"/>
      <c r="F18" s="13"/>
      <c r="G18" s="13"/>
      <c r="H18" s="13"/>
      <c r="I18" s="13"/>
      <c r="J18" s="13"/>
      <c r="K18" s="13"/>
      <c r="L18" s="13"/>
      <c r="M18" s="124"/>
      <c r="N18" s="124"/>
      <c r="O18" s="124"/>
      <c r="P18" s="124"/>
      <c r="Q18" s="124"/>
      <c r="R18" s="124"/>
      <c r="S18" s="124"/>
      <c r="T18" s="124"/>
    </row>
    <row r="19" spans="1:20" ht="18" x14ac:dyDescent="0.6">
      <c r="A19" s="330"/>
      <c r="B19" s="374" t="s">
        <v>52</v>
      </c>
      <c r="C19" s="330"/>
      <c r="D19" s="330"/>
      <c r="E19" s="330"/>
      <c r="F19" s="330"/>
      <c r="G19" s="330"/>
      <c r="H19" s="330"/>
      <c r="I19" s="330"/>
      <c r="J19" s="330"/>
      <c r="K19" s="330"/>
      <c r="L19" s="301"/>
      <c r="M19" s="124"/>
      <c r="N19" s="124"/>
      <c r="O19" s="124"/>
      <c r="P19" s="124"/>
      <c r="Q19" s="124"/>
      <c r="R19" s="124"/>
      <c r="S19" s="124"/>
      <c r="T19" s="124"/>
    </row>
    <row r="20" spans="1:20" x14ac:dyDescent="0.5">
      <c r="A20" s="330"/>
      <c r="B20" s="330"/>
      <c r="C20" s="409">
        <f t="shared" ref="C20:C32" ca="1" si="26">INDIRECT(ADDRESS(ROW(B3),COLUMN(C3),1,,$B$21))</f>
        <v>2016</v>
      </c>
      <c r="D20" s="409"/>
      <c r="E20" s="409"/>
      <c r="F20" s="410">
        <f t="shared" ref="F20:F32" ca="1" si="27">INDIRECT(ADDRESS(ROW(F3),COLUMN(F3),1,,$B$21))</f>
        <v>2025</v>
      </c>
      <c r="G20" s="410"/>
      <c r="H20" s="410"/>
      <c r="I20" s="411">
        <f t="shared" ref="I20:I32" ca="1" si="28">INDIRECT(ADDRESS(ROW(H3),COLUMN(I3),1,,$B$21))</f>
        <v>2030</v>
      </c>
      <c r="J20" s="411"/>
      <c r="K20" s="411"/>
      <c r="L20" s="330"/>
      <c r="M20" s="124"/>
      <c r="N20" s="124"/>
      <c r="O20" s="124"/>
      <c r="P20" s="124"/>
      <c r="Q20" s="124"/>
      <c r="R20" s="124"/>
      <c r="S20" s="124"/>
      <c r="T20" s="124"/>
    </row>
    <row r="21" spans="1:20" ht="14.7" thickBot="1" x14ac:dyDescent="0.55000000000000004">
      <c r="A21" s="375" t="s">
        <v>49</v>
      </c>
      <c r="B21" s="390" t="s">
        <v>230</v>
      </c>
      <c r="C21" s="327" t="str">
        <f t="shared" ca="1" si="26"/>
        <v>best</v>
      </c>
      <c r="D21" s="327" t="str">
        <f t="shared" ref="D21:E32" ca="1" si="29">INDIRECT(ADDRESS(ROW(C4),COLUMN(D4),1,,$B$21))</f>
        <v>worst</v>
      </c>
      <c r="E21" s="327" t="str">
        <f t="shared" ca="1" si="29"/>
        <v>reference</v>
      </c>
      <c r="F21" s="328" t="str">
        <f t="shared" ca="1" si="27"/>
        <v>best</v>
      </c>
      <c r="G21" s="328" t="str">
        <f t="shared" ref="G21:H32" ca="1" si="30">INDIRECT(ADDRESS(ROW(F4),COLUMN(G4),1,,$B$21))</f>
        <v>worst</v>
      </c>
      <c r="H21" s="328" t="str">
        <f t="shared" ca="1" si="30"/>
        <v>reference</v>
      </c>
      <c r="I21" s="329" t="str">
        <f t="shared" ca="1" si="28"/>
        <v>best</v>
      </c>
      <c r="J21" s="329" t="str">
        <f t="shared" ref="J21:L32" ca="1" si="31">INDIRECT(ADDRESS(ROW(I4),COLUMN(J4),1,,$B$21))</f>
        <v>worst</v>
      </c>
      <c r="K21" s="329" t="str">
        <f t="shared" ca="1" si="31"/>
        <v>reference</v>
      </c>
      <c r="L21" s="376" t="str">
        <f t="shared" ca="1" si="31"/>
        <v>unit</v>
      </c>
      <c r="M21" s="124"/>
      <c r="N21" s="124"/>
      <c r="O21" s="124"/>
      <c r="P21" s="124"/>
      <c r="Q21" s="124"/>
      <c r="R21" s="124"/>
      <c r="S21" s="124"/>
      <c r="T21" s="124"/>
    </row>
    <row r="22" spans="1:20" x14ac:dyDescent="0.5">
      <c r="A22" s="330"/>
      <c r="B22" s="301" t="str">
        <f t="shared" ref="B22:B31" ca="1" si="32">INDIRECT(ADDRESS(ROW(A5),COLUMN(B5),1,,$B$21))</f>
        <v>Energy density</v>
      </c>
      <c r="C22" s="305">
        <f t="shared" ca="1" si="26"/>
        <v>0</v>
      </c>
      <c r="D22" s="305">
        <f t="shared" ca="1" si="29"/>
        <v>0</v>
      </c>
      <c r="E22" s="305">
        <f t="shared" ca="1" si="29"/>
        <v>0</v>
      </c>
      <c r="F22" s="306">
        <f t="shared" ca="1" si="27"/>
        <v>0</v>
      </c>
      <c r="G22" s="306">
        <f t="shared" ca="1" si="30"/>
        <v>0</v>
      </c>
      <c r="H22" s="306">
        <f t="shared" ca="1" si="30"/>
        <v>1</v>
      </c>
      <c r="I22" s="307">
        <f t="shared" ca="1" si="28"/>
        <v>0</v>
      </c>
      <c r="J22" s="307">
        <f t="shared" ca="1" si="31"/>
        <v>0</v>
      </c>
      <c r="K22" s="307">
        <f t="shared" ca="1" si="31"/>
        <v>1</v>
      </c>
      <c r="L22" s="330" t="str">
        <f t="shared" ca="1" si="31"/>
        <v>Wh/l</v>
      </c>
      <c r="M22" s="124"/>
      <c r="N22" s="124"/>
      <c r="O22" s="124"/>
      <c r="P22" s="124"/>
      <c r="Q22" s="124"/>
      <c r="R22" s="124"/>
      <c r="S22" s="124"/>
      <c r="T22" s="124"/>
    </row>
    <row r="23" spans="1:20" x14ac:dyDescent="0.5">
      <c r="A23" s="330"/>
      <c r="B23" s="301" t="str">
        <f t="shared" ca="1" si="32"/>
        <v>Power density</v>
      </c>
      <c r="C23" s="305">
        <f t="shared" ca="1" si="26"/>
        <v>0</v>
      </c>
      <c r="D23" s="305">
        <f t="shared" ca="1" si="29"/>
        <v>0</v>
      </c>
      <c r="E23" s="305">
        <f t="shared" ca="1" si="29"/>
        <v>0</v>
      </c>
      <c r="F23" s="306">
        <f t="shared" ca="1" si="27"/>
        <v>0</v>
      </c>
      <c r="G23" s="306">
        <f t="shared" ca="1" si="30"/>
        <v>0</v>
      </c>
      <c r="H23" s="306">
        <f t="shared" ca="1" si="30"/>
        <v>0.15</v>
      </c>
      <c r="I23" s="307">
        <f t="shared" ca="1" si="28"/>
        <v>0</v>
      </c>
      <c r="J23" s="307">
        <f t="shared" ca="1" si="31"/>
        <v>0</v>
      </c>
      <c r="K23" s="307">
        <f t="shared" ca="1" si="31"/>
        <v>0.15</v>
      </c>
      <c r="L23" s="330" t="str">
        <f t="shared" ca="1" si="31"/>
        <v>W/l</v>
      </c>
      <c r="M23" s="124"/>
      <c r="N23" s="124"/>
      <c r="O23" s="124"/>
      <c r="P23" s="124"/>
      <c r="Q23" s="124"/>
      <c r="R23" s="124"/>
      <c r="S23" s="124"/>
      <c r="T23" s="124"/>
    </row>
    <row r="24" spans="1:20" x14ac:dyDescent="0.5">
      <c r="A24" s="330"/>
      <c r="B24" s="301" t="str">
        <f t="shared" ca="1" si="32"/>
        <v>Cycle life</v>
      </c>
      <c r="C24" s="305">
        <f t="shared" ca="1" si="26"/>
        <v>0</v>
      </c>
      <c r="D24" s="305">
        <f t="shared" ca="1" si="29"/>
        <v>0</v>
      </c>
      <c r="E24" s="305">
        <f t="shared" ca="1" si="29"/>
        <v>0</v>
      </c>
      <c r="F24" s="306">
        <f t="shared" ca="1" si="27"/>
        <v>0</v>
      </c>
      <c r="G24" s="306">
        <f t="shared" ca="1" si="30"/>
        <v>0</v>
      </c>
      <c r="H24" s="306">
        <f t="shared" ca="1" si="30"/>
        <v>0</v>
      </c>
      <c r="I24" s="307">
        <f t="shared" ca="1" si="28"/>
        <v>0</v>
      </c>
      <c r="J24" s="307">
        <f t="shared" ca="1" si="31"/>
        <v>0</v>
      </c>
      <c r="K24" s="307">
        <f t="shared" ca="1" si="31"/>
        <v>0</v>
      </c>
      <c r="L24" s="330" t="str">
        <f t="shared" ca="1" si="31"/>
        <v>equivalent full-cycles</v>
      </c>
      <c r="M24" s="124"/>
      <c r="N24" s="124"/>
      <c r="O24" s="124"/>
      <c r="P24" s="124"/>
      <c r="Q24" s="124"/>
      <c r="R24" s="124"/>
      <c r="S24" s="124"/>
      <c r="T24" s="124"/>
    </row>
    <row r="25" spans="1:20" x14ac:dyDescent="0.5">
      <c r="A25" s="330"/>
      <c r="B25" s="301" t="str">
        <f t="shared" ca="1" si="32"/>
        <v>Calendar life</v>
      </c>
      <c r="C25" s="305">
        <f t="shared" ca="1" si="26"/>
        <v>25</v>
      </c>
      <c r="D25" s="305">
        <f t="shared" ca="1" si="29"/>
        <v>10</v>
      </c>
      <c r="E25" s="305">
        <f t="shared" ca="1" si="29"/>
        <v>12</v>
      </c>
      <c r="F25" s="306">
        <f t="shared" ca="1" si="27"/>
        <v>56.25</v>
      </c>
      <c r="G25" s="306">
        <f t="shared" ca="1" si="30"/>
        <v>22.5</v>
      </c>
      <c r="H25" s="306">
        <f t="shared" ca="1" si="30"/>
        <v>27</v>
      </c>
      <c r="I25" s="307">
        <f t="shared" ca="1" si="28"/>
        <v>62.5</v>
      </c>
      <c r="J25" s="307">
        <f t="shared" ca="1" si="31"/>
        <v>25</v>
      </c>
      <c r="K25" s="307">
        <f t="shared" ca="1" si="31"/>
        <v>30</v>
      </c>
      <c r="L25" s="330" t="str">
        <f t="shared" ca="1" si="31"/>
        <v>a</v>
      </c>
      <c r="M25" s="124"/>
      <c r="N25" s="124"/>
      <c r="O25" s="124"/>
      <c r="P25" s="124"/>
      <c r="Q25" s="124"/>
      <c r="R25" s="124"/>
      <c r="S25" s="124"/>
      <c r="T25" s="124"/>
    </row>
    <row r="26" spans="1:20" x14ac:dyDescent="0.5">
      <c r="A26" s="330"/>
      <c r="B26" s="301" t="str">
        <f t="shared" ca="1" si="32"/>
        <v>Depth of discharge</v>
      </c>
      <c r="C26" s="305">
        <f t="shared" ca="1" si="26"/>
        <v>0</v>
      </c>
      <c r="D26" s="305">
        <f t="shared" ca="1" si="29"/>
        <v>0</v>
      </c>
      <c r="E26" s="305">
        <f t="shared" ca="1" si="29"/>
        <v>0</v>
      </c>
      <c r="F26" s="306">
        <f t="shared" ca="1" si="27"/>
        <v>0</v>
      </c>
      <c r="G26" s="306">
        <f t="shared" ca="1" si="30"/>
        <v>0</v>
      </c>
      <c r="H26" s="306">
        <f t="shared" ca="1" si="30"/>
        <v>90</v>
      </c>
      <c r="I26" s="307">
        <f t="shared" ca="1" si="28"/>
        <v>0</v>
      </c>
      <c r="J26" s="307">
        <f t="shared" ca="1" si="31"/>
        <v>0</v>
      </c>
      <c r="K26" s="307">
        <f t="shared" ca="1" si="31"/>
        <v>90</v>
      </c>
      <c r="L26" s="330" t="str">
        <f t="shared" ca="1" si="31"/>
        <v>%</v>
      </c>
      <c r="M26" s="124"/>
      <c r="N26" s="124"/>
      <c r="O26" s="124"/>
      <c r="P26" s="124"/>
      <c r="Q26" s="124"/>
      <c r="R26" s="124"/>
      <c r="S26" s="124"/>
      <c r="T26" s="124"/>
    </row>
    <row r="27" spans="1:20" x14ac:dyDescent="0.5">
      <c r="A27" s="330"/>
      <c r="B27" s="301" t="str">
        <f t="shared" ca="1" si="32"/>
        <v>Round-trip efficiency</v>
      </c>
      <c r="C27" s="305">
        <f t="shared" ca="1" si="26"/>
        <v>97</v>
      </c>
      <c r="D27" s="305">
        <f t="shared" ca="1" si="29"/>
        <v>93</v>
      </c>
      <c r="E27" s="305">
        <f t="shared" ca="1" si="29"/>
        <v>95</v>
      </c>
      <c r="F27" s="306">
        <f t="shared" ca="1" si="27"/>
        <v>97</v>
      </c>
      <c r="G27" s="306">
        <f t="shared" ca="1" si="30"/>
        <v>93</v>
      </c>
      <c r="H27" s="306">
        <f t="shared" ca="1" si="30"/>
        <v>95</v>
      </c>
      <c r="I27" s="307">
        <f t="shared" ca="1" si="28"/>
        <v>97</v>
      </c>
      <c r="J27" s="307">
        <f t="shared" ca="1" si="31"/>
        <v>93</v>
      </c>
      <c r="K27" s="307">
        <f t="shared" ca="1" si="31"/>
        <v>95</v>
      </c>
      <c r="L27" s="330" t="str">
        <f t="shared" ca="1" si="31"/>
        <v>%</v>
      </c>
      <c r="M27" s="124"/>
      <c r="N27" s="124"/>
      <c r="O27" s="124"/>
      <c r="P27" s="124"/>
      <c r="Q27" s="124"/>
      <c r="R27" s="124"/>
      <c r="S27" s="124"/>
      <c r="T27" s="124"/>
    </row>
    <row r="28" spans="1:20" x14ac:dyDescent="0.5">
      <c r="A28" s="330"/>
      <c r="B28" s="301" t="str">
        <f t="shared" ca="1" si="32"/>
        <v>Self-discharge</v>
      </c>
      <c r="C28" s="305">
        <f t="shared" ca="1" si="26"/>
        <v>0</v>
      </c>
      <c r="D28" s="305">
        <f t="shared" ca="1" si="29"/>
        <v>0</v>
      </c>
      <c r="E28" s="305">
        <f t="shared" ca="1" si="29"/>
        <v>0</v>
      </c>
      <c r="F28" s="306">
        <f t="shared" ca="1" si="27"/>
        <v>0</v>
      </c>
      <c r="G28" s="306">
        <f t="shared" ca="1" si="30"/>
        <v>0</v>
      </c>
      <c r="H28" s="306">
        <f t="shared" ca="1" si="30"/>
        <v>0.01</v>
      </c>
      <c r="I28" s="307">
        <f t="shared" ca="1" si="28"/>
        <v>0</v>
      </c>
      <c r="J28" s="307">
        <f t="shared" ca="1" si="31"/>
        <v>0</v>
      </c>
      <c r="K28" s="307">
        <f t="shared" ca="1" si="31"/>
        <v>0.01</v>
      </c>
      <c r="L28" s="330" t="str">
        <f t="shared" ca="1" si="31"/>
        <v>% per day</v>
      </c>
      <c r="M28" s="124"/>
      <c r="N28" s="124"/>
      <c r="O28" s="124"/>
      <c r="P28" s="124"/>
      <c r="Q28" s="124"/>
      <c r="R28" s="124"/>
      <c r="S28" s="124"/>
      <c r="T28" s="124"/>
    </row>
    <row r="29" spans="1:20" x14ac:dyDescent="0.5">
      <c r="A29" s="330"/>
      <c r="B29" s="301" t="str">
        <f t="shared" ca="1" si="32"/>
        <v>Power dynamic</v>
      </c>
      <c r="C29" s="305" t="str">
        <f t="shared" ca="1" si="26"/>
        <v>-</v>
      </c>
      <c r="D29" s="305" t="str">
        <f t="shared" ca="1" si="29"/>
        <v>-</v>
      </c>
      <c r="E29" s="305">
        <f t="shared" ca="1" si="29"/>
        <v>0.02</v>
      </c>
      <c r="F29" s="306">
        <f t="shared" ca="1" si="27"/>
        <v>0</v>
      </c>
      <c r="G29" s="306">
        <f t="shared" ca="1" si="30"/>
        <v>0</v>
      </c>
      <c r="H29" s="306">
        <f t="shared" ca="1" si="30"/>
        <v>30</v>
      </c>
      <c r="I29" s="307">
        <f t="shared" ca="1" si="28"/>
        <v>0</v>
      </c>
      <c r="J29" s="307">
        <f t="shared" ca="1" si="31"/>
        <v>0</v>
      </c>
      <c r="K29" s="307">
        <f t="shared" ca="1" si="31"/>
        <v>30</v>
      </c>
      <c r="L29" s="330" t="str">
        <f t="shared" ca="1" si="31"/>
        <v>s to rated power</v>
      </c>
      <c r="M29" s="124"/>
      <c r="N29" s="124"/>
      <c r="O29" s="124"/>
      <c r="P29" s="124"/>
      <c r="Q29" s="124"/>
      <c r="R29" s="124"/>
      <c r="S29" s="124"/>
      <c r="T29" s="124"/>
    </row>
    <row r="30" spans="1:20" x14ac:dyDescent="0.5">
      <c r="A30" s="330"/>
      <c r="B30" s="301" t="str">
        <f t="shared" ca="1" si="32"/>
        <v>Planning &amp; Construction Time</v>
      </c>
      <c r="C30" s="305">
        <f t="shared" ca="1" si="26"/>
        <v>0</v>
      </c>
      <c r="D30" s="305">
        <f t="shared" ca="1" si="29"/>
        <v>0</v>
      </c>
      <c r="E30" s="305">
        <f t="shared" ca="1" si="29"/>
        <v>0</v>
      </c>
      <c r="F30" s="306">
        <f t="shared" ca="1" si="27"/>
        <v>0</v>
      </c>
      <c r="G30" s="306">
        <f t="shared" ca="1" si="30"/>
        <v>0</v>
      </c>
      <c r="H30" s="306">
        <f t="shared" ca="1" si="30"/>
        <v>15</v>
      </c>
      <c r="I30" s="307">
        <f t="shared" ca="1" si="28"/>
        <v>0</v>
      </c>
      <c r="J30" s="307">
        <f t="shared" ca="1" si="31"/>
        <v>0</v>
      </c>
      <c r="K30" s="307">
        <f t="shared" ca="1" si="31"/>
        <v>15</v>
      </c>
      <c r="L30" s="330" t="str">
        <f t="shared" ca="1" si="31"/>
        <v>a</v>
      </c>
      <c r="M30" s="124"/>
      <c r="N30" s="124"/>
      <c r="O30" s="124"/>
      <c r="P30" s="124"/>
      <c r="Q30" s="124"/>
      <c r="R30" s="124"/>
      <c r="S30" s="124"/>
      <c r="T30" s="124"/>
    </row>
    <row r="31" spans="1:20" x14ac:dyDescent="0.5">
      <c r="A31" s="330"/>
      <c r="B31" s="301" t="str">
        <f t="shared" ca="1" si="32"/>
        <v>Energy installation cost</v>
      </c>
      <c r="C31" s="305">
        <f t="shared" ca="1" si="26"/>
        <v>0</v>
      </c>
      <c r="D31" s="305">
        <f t="shared" ca="1" si="29"/>
        <v>0</v>
      </c>
      <c r="E31" s="305">
        <f t="shared" ca="1" si="29"/>
        <v>0</v>
      </c>
      <c r="F31" s="306">
        <f t="shared" ca="1" si="27"/>
        <v>0</v>
      </c>
      <c r="G31" s="306">
        <f t="shared" ca="1" si="30"/>
        <v>0</v>
      </c>
      <c r="H31" s="306">
        <f t="shared" ca="1" si="30"/>
        <v>0</v>
      </c>
      <c r="I31" s="307">
        <f t="shared" ca="1" si="28"/>
        <v>0</v>
      </c>
      <c r="J31" s="307">
        <f t="shared" ca="1" si="31"/>
        <v>0</v>
      </c>
      <c r="K31" s="307">
        <f t="shared" ca="1" si="31"/>
        <v>0</v>
      </c>
      <c r="L31" s="330" t="str">
        <f t="shared" ca="1" si="31"/>
        <v>USD / kWh</v>
      </c>
      <c r="M31" s="124"/>
      <c r="N31" s="124"/>
      <c r="O31" s="124"/>
      <c r="P31" s="124"/>
      <c r="Q31" s="124"/>
      <c r="R31" s="124"/>
      <c r="S31" s="124"/>
      <c r="T31" s="124"/>
    </row>
    <row r="32" spans="1:20" x14ac:dyDescent="0.5">
      <c r="A32" s="330"/>
      <c r="B32" s="301" t="str">
        <f t="shared" ref="B32" ca="1" si="33">INDIRECT(ADDRESS(ROW(A15),COLUMN(B15),1,,$B$21))</f>
        <v>Power installation cost</v>
      </c>
      <c r="C32" s="305">
        <f t="shared" ca="1" si="26"/>
        <v>105</v>
      </c>
      <c r="D32" s="305">
        <f t="shared" ca="1" si="29"/>
        <v>290</v>
      </c>
      <c r="E32" s="305">
        <f t="shared" ca="1" si="29"/>
        <v>155.4</v>
      </c>
      <c r="F32" s="306">
        <f t="shared" ca="1" si="27"/>
        <v>47.297297297297298</v>
      </c>
      <c r="G32" s="306">
        <f t="shared" ca="1" si="30"/>
        <v>130.63063063063063</v>
      </c>
      <c r="H32" s="306">
        <f t="shared" ca="1" si="30"/>
        <v>70</v>
      </c>
      <c r="I32" s="307">
        <f t="shared" ca="1" si="28"/>
        <v>40.54054054054054</v>
      </c>
      <c r="J32" s="307">
        <f t="shared" ca="1" si="31"/>
        <v>111.96911196911198</v>
      </c>
      <c r="K32" s="307">
        <f t="shared" ca="1" si="31"/>
        <v>60</v>
      </c>
      <c r="L32" s="330" t="str">
        <f t="shared" ca="1" si="31"/>
        <v>USD / kW</v>
      </c>
      <c r="M32" s="124"/>
      <c r="N32" s="124"/>
      <c r="O32" s="124"/>
      <c r="P32" s="124"/>
      <c r="Q32" s="124"/>
      <c r="R32" s="124"/>
      <c r="S32" s="124"/>
      <c r="T32" s="124"/>
    </row>
    <row r="33" spans="1:20" x14ac:dyDescent="0.5">
      <c r="A33" s="13"/>
      <c r="B33" s="13"/>
      <c r="C33" s="13"/>
      <c r="D33" s="13"/>
      <c r="E33" s="13"/>
      <c r="F33" s="13"/>
      <c r="G33" s="13"/>
      <c r="H33" s="13"/>
      <c r="I33" s="13"/>
      <c r="J33" s="13"/>
      <c r="K33" s="13"/>
      <c r="L33" s="13"/>
      <c r="M33" s="124"/>
      <c r="N33" s="124"/>
      <c r="O33" s="124"/>
      <c r="P33" s="124"/>
      <c r="Q33" s="124"/>
      <c r="R33" s="124"/>
      <c r="S33" s="124"/>
      <c r="T33" s="124"/>
    </row>
    <row r="34" spans="1:20" x14ac:dyDescent="0.5">
      <c r="A34" s="13"/>
      <c r="B34" s="13"/>
      <c r="C34" s="13"/>
      <c r="D34" s="13"/>
      <c r="E34" s="13"/>
      <c r="F34" s="13"/>
      <c r="G34" s="13"/>
      <c r="H34" s="13"/>
      <c r="I34" s="13"/>
      <c r="J34" s="13"/>
      <c r="K34" s="13"/>
      <c r="L34" s="13"/>
      <c r="M34" s="124"/>
      <c r="N34" s="124"/>
      <c r="O34" s="124"/>
      <c r="P34" s="124"/>
      <c r="Q34" s="124"/>
      <c r="R34" s="124"/>
      <c r="S34" s="124"/>
      <c r="T34" s="124"/>
    </row>
    <row r="35" spans="1:20" ht="18" x14ac:dyDescent="0.6">
      <c r="A35" s="330"/>
      <c r="B35" s="374" t="s">
        <v>54</v>
      </c>
      <c r="C35" s="330"/>
      <c r="D35" s="330"/>
      <c r="E35" s="330"/>
      <c r="F35" s="330"/>
      <c r="G35" s="330"/>
      <c r="H35" s="330"/>
      <c r="I35" s="330"/>
      <c r="J35" s="330"/>
      <c r="K35" s="330"/>
      <c r="L35" s="330"/>
      <c r="M35" s="124"/>
      <c r="N35" s="124"/>
      <c r="O35" s="124"/>
      <c r="P35" s="124"/>
      <c r="Q35" s="124"/>
      <c r="R35" s="124"/>
      <c r="S35" s="124"/>
      <c r="T35" s="124"/>
    </row>
    <row r="36" spans="1:20" ht="18" x14ac:dyDescent="0.6">
      <c r="A36" s="330"/>
      <c r="B36" s="378"/>
      <c r="C36" s="409">
        <v>2016</v>
      </c>
      <c r="D36" s="409"/>
      <c r="E36" s="409"/>
      <c r="F36" s="410">
        <v>2025</v>
      </c>
      <c r="G36" s="410"/>
      <c r="H36" s="410"/>
      <c r="I36" s="411">
        <v>2030</v>
      </c>
      <c r="J36" s="411"/>
      <c r="K36" s="411"/>
      <c r="L36" s="330"/>
      <c r="M36" s="124"/>
      <c r="N36" s="124"/>
      <c r="O36" s="124"/>
      <c r="P36" s="124"/>
      <c r="Q36" s="124"/>
      <c r="R36" s="124"/>
      <c r="S36" s="124"/>
      <c r="T36" s="124"/>
    </row>
    <row r="37" spans="1:20" ht="14.7" thickBot="1" x14ac:dyDescent="0.55000000000000004">
      <c r="A37" s="375" t="s">
        <v>49</v>
      </c>
      <c r="B37" s="390" t="s">
        <v>55</v>
      </c>
      <c r="C37" s="327" t="s">
        <v>56</v>
      </c>
      <c r="D37" s="327" t="s">
        <v>57</v>
      </c>
      <c r="E37" s="327" t="s">
        <v>58</v>
      </c>
      <c r="F37" s="328" t="s">
        <v>56</v>
      </c>
      <c r="G37" s="328" t="s">
        <v>57</v>
      </c>
      <c r="H37" s="328" t="s">
        <v>58</v>
      </c>
      <c r="I37" s="329" t="s">
        <v>56</v>
      </c>
      <c r="J37" s="329" t="s">
        <v>57</v>
      </c>
      <c r="K37" s="329" t="s">
        <v>58</v>
      </c>
      <c r="L37" s="376" t="s">
        <v>59</v>
      </c>
      <c r="M37" s="124"/>
      <c r="N37" s="124"/>
      <c r="O37" s="124"/>
      <c r="P37" s="124"/>
      <c r="Q37" s="124"/>
      <c r="R37" s="124"/>
      <c r="S37" s="124"/>
      <c r="T37" s="124"/>
    </row>
    <row r="38" spans="1:20" x14ac:dyDescent="0.5">
      <c r="A38" s="330"/>
      <c r="B38" s="301" t="s">
        <v>60</v>
      </c>
      <c r="C38" s="300">
        <f>VLOOKUP($B$37,'Grid Connection'!$B$4:$H$16,ROW()-ROW($C$37)+1,)</f>
        <v>100</v>
      </c>
      <c r="D38" s="300">
        <f>VLOOKUP($B$37,'Grid Connection'!$B$4:$H$16,ROW()-ROW($C$37)+1,)</f>
        <v>100</v>
      </c>
      <c r="E38" s="300">
        <f>VLOOKUP($B$37,'Grid Connection'!$B$4:$H$16,ROW()-ROW($C$37)+1,)</f>
        <v>100</v>
      </c>
      <c r="F38" s="306">
        <f>VLOOKUP($B$37,'Grid Connection'!$B$4:$H$16,ROW()-ROW($C$37)+1,)</f>
        <v>100</v>
      </c>
      <c r="G38" s="306">
        <f>VLOOKUP($B$37,'Grid Connection'!$B$4:$H$16,ROW()-ROW($C$37)+1,)</f>
        <v>100</v>
      </c>
      <c r="H38" s="306">
        <f>VLOOKUP($B$37,'Grid Connection'!$B$4:$H$16,ROW()-ROW($C$37)+1,)</f>
        <v>100</v>
      </c>
      <c r="I38" s="309">
        <f>VLOOKUP($B$37,'Grid Connection'!$B$4:$H$16,ROW()-ROW($C$37)+1,)</f>
        <v>100</v>
      </c>
      <c r="J38" s="309">
        <f>VLOOKUP($B$37,'Grid Connection'!$B$4:$H$16,ROW()-ROW($C$37)+1,)</f>
        <v>100</v>
      </c>
      <c r="K38" s="309">
        <f>VLOOKUP($B$37,'Grid Connection'!$B$4:$H$16,ROW()-ROW($C$37)+1,)</f>
        <v>100</v>
      </c>
      <c r="L38" s="330" t="s">
        <v>61</v>
      </c>
      <c r="M38" s="124"/>
      <c r="N38" s="124"/>
      <c r="O38" s="124"/>
      <c r="P38" s="124"/>
      <c r="Q38" s="124"/>
      <c r="R38" s="124"/>
      <c r="S38" s="124"/>
      <c r="T38" s="124"/>
    </row>
    <row r="39" spans="1:20" x14ac:dyDescent="0.5">
      <c r="A39" s="330"/>
      <c r="B39" s="301" t="s">
        <v>62</v>
      </c>
      <c r="C39" s="300">
        <f>VLOOKUP($B$37,'Grid Connection'!$B$4:$H$16,ROW()-ROW($C$37)+1,)</f>
        <v>0</v>
      </c>
      <c r="D39" s="300">
        <f>VLOOKUP($B$37,'Grid Connection'!$B$4:$H$16,ROW()-ROW($C$37)+1,)</f>
        <v>0</v>
      </c>
      <c r="E39" s="300">
        <f>VLOOKUP($B$37,'Grid Connection'!$B$4:$H$16,ROW()-ROW($C$37)+1,)</f>
        <v>0</v>
      </c>
      <c r="F39" s="310">
        <f>VLOOKUP($B$37,'Grid Connection'!$B$4:$H$16,ROW()-ROW($C$37)+1,)</f>
        <v>0</v>
      </c>
      <c r="G39" s="310">
        <f>VLOOKUP($B$37,'Grid Connection'!$B$4:$H$16,ROW()-ROW($C$37)+1,)</f>
        <v>0</v>
      </c>
      <c r="H39" s="310">
        <f>VLOOKUP($B$37,'Grid Connection'!$B$4:$H$16,ROW()-ROW($C$37)+1,)</f>
        <v>0</v>
      </c>
      <c r="I39" s="309">
        <f>VLOOKUP($B$37,'Grid Connection'!$B$4:$H$16,ROW()-ROW($C$37)+1,)</f>
        <v>0</v>
      </c>
      <c r="J39" s="309">
        <f>VLOOKUP($B$37,'Grid Connection'!$B$4:$H$16,ROW()-ROW($C$37)+1,)</f>
        <v>0</v>
      </c>
      <c r="K39" s="309">
        <f>VLOOKUP($B$37,'Grid Connection'!$B$4:$H$16,ROW()-ROW($C$37)+1,)</f>
        <v>0</v>
      </c>
      <c r="L39" s="330" t="s">
        <v>61</v>
      </c>
      <c r="M39" s="124"/>
      <c r="N39" s="124"/>
      <c r="O39" s="124"/>
      <c r="P39" s="124"/>
      <c r="Q39" s="124"/>
      <c r="R39" s="124"/>
      <c r="S39" s="124"/>
      <c r="T39" s="124"/>
    </row>
    <row r="40" spans="1:20" x14ac:dyDescent="0.5">
      <c r="A40" s="330"/>
      <c r="B40" s="301" t="s">
        <v>63</v>
      </c>
      <c r="C40" s="300">
        <f>VLOOKUP($B$37,'Grid Connection'!$B$4:$H$16,ROW()-ROW($C$37)+1,)</f>
        <v>50</v>
      </c>
      <c r="D40" s="300">
        <f>VLOOKUP($B$37,'Grid Connection'!$B$4:$H$16,ROW()-ROW($C$37)+1,)</f>
        <v>50</v>
      </c>
      <c r="E40" s="300">
        <f>VLOOKUP($B$37,'Grid Connection'!$B$4:$H$16,ROW()-ROW($C$37)+1,)</f>
        <v>50</v>
      </c>
      <c r="F40" s="310">
        <f>VLOOKUP($B$37,'Grid Connection'!$B$4:$H$16,ROW()-ROW($C$37)+1,)</f>
        <v>50</v>
      </c>
      <c r="G40" s="310">
        <f>VLOOKUP($B$37,'Grid Connection'!$B$4:$H$16,ROW()-ROW($C$37)+1,)</f>
        <v>50</v>
      </c>
      <c r="H40" s="310">
        <f>VLOOKUP($B$37,'Grid Connection'!$B$4:$H$16,ROW()-ROW($C$37)+1,)</f>
        <v>50</v>
      </c>
      <c r="I40" s="309">
        <f>VLOOKUP($B$37,'Grid Connection'!$B$4:$H$16,ROW()-ROW($C$37)+1,)</f>
        <v>50</v>
      </c>
      <c r="J40" s="309">
        <f>VLOOKUP($B$37,'Grid Connection'!$B$4:$H$16,ROW()-ROW($C$37)+1,)</f>
        <v>50</v>
      </c>
      <c r="K40" s="309">
        <f>VLOOKUP($B$37,'Grid Connection'!$B$4:$H$16,ROW()-ROW($C$37)+1,)</f>
        <v>50</v>
      </c>
      <c r="L40" s="330" t="s">
        <v>64</v>
      </c>
      <c r="M40" s="124"/>
      <c r="N40" s="124"/>
      <c r="O40" s="124"/>
      <c r="P40" s="124"/>
      <c r="Q40" s="124"/>
      <c r="R40" s="124"/>
      <c r="S40" s="124"/>
      <c r="T40" s="124"/>
    </row>
    <row r="41" spans="1:20" x14ac:dyDescent="0.5">
      <c r="A41" s="330"/>
      <c r="B41" s="301" t="s">
        <v>65</v>
      </c>
      <c r="C41" s="300">
        <f>VLOOKUP($B$37,'Grid Connection'!$B$4:$H$16,ROW()-ROW($C$37)+1,)</f>
        <v>100</v>
      </c>
      <c r="D41" s="300">
        <f>VLOOKUP($B$37,'Grid Connection'!$B$4:$H$16,ROW()-ROW($C$37)+1,)</f>
        <v>100</v>
      </c>
      <c r="E41" s="300">
        <f>VLOOKUP($B$37,'Grid Connection'!$B$4:$H$16,ROW()-ROW($C$37)+1,)</f>
        <v>100</v>
      </c>
      <c r="F41" s="310">
        <f>VLOOKUP($B$37,'Grid Connection'!$B$4:$H$16,ROW()-ROW($C$37)+1,)</f>
        <v>100</v>
      </c>
      <c r="G41" s="310">
        <f>VLOOKUP($B$37,'Grid Connection'!$B$4:$H$16,ROW()-ROW($C$37)+1,)</f>
        <v>100</v>
      </c>
      <c r="H41" s="310">
        <f>VLOOKUP($B$37,'Grid Connection'!$B$4:$H$16,ROW()-ROW($C$37)+1,)</f>
        <v>100</v>
      </c>
      <c r="I41" s="309">
        <f>VLOOKUP($B$37,'Grid Connection'!$B$4:$H$16,ROW()-ROW($C$37)+1,)</f>
        <v>100</v>
      </c>
      <c r="J41" s="309">
        <f>VLOOKUP($B$37,'Grid Connection'!$B$4:$H$16,ROW()-ROW($C$37)+1,)</f>
        <v>100</v>
      </c>
      <c r="K41" s="309">
        <f>VLOOKUP($B$37,'Grid Connection'!$B$4:$H$16,ROW()-ROW($C$37)+1,)</f>
        <v>100</v>
      </c>
      <c r="L41" s="330" t="s">
        <v>66</v>
      </c>
      <c r="M41" s="124"/>
      <c r="N41" s="124"/>
      <c r="O41" s="124"/>
      <c r="P41" s="124"/>
      <c r="Q41" s="124"/>
      <c r="R41" s="124"/>
      <c r="S41" s="124"/>
      <c r="T41" s="124"/>
    </row>
    <row r="42" spans="1:20" x14ac:dyDescent="0.5">
      <c r="A42" s="13"/>
      <c r="B42" s="13"/>
      <c r="C42" s="13"/>
      <c r="D42" s="13"/>
      <c r="E42" s="13"/>
      <c r="F42" s="13"/>
      <c r="G42" s="13"/>
      <c r="H42" s="13"/>
      <c r="I42" s="13"/>
      <c r="J42" s="13"/>
      <c r="K42" s="13"/>
      <c r="L42" s="13"/>
      <c r="M42" s="124"/>
      <c r="N42" s="124"/>
      <c r="O42" s="124"/>
      <c r="P42" s="124"/>
      <c r="Q42" s="124"/>
      <c r="R42" s="124"/>
      <c r="S42" s="124"/>
      <c r="T42" s="124"/>
    </row>
    <row r="43" spans="1:20" x14ac:dyDescent="0.5">
      <c r="A43" s="13"/>
      <c r="B43" s="13"/>
      <c r="C43" s="13"/>
      <c r="D43" s="13"/>
      <c r="E43" s="13"/>
      <c r="F43" s="13"/>
      <c r="G43" s="13"/>
      <c r="H43" s="13"/>
      <c r="I43" s="13"/>
      <c r="J43" s="13"/>
      <c r="K43" s="13"/>
      <c r="L43" s="13"/>
      <c r="M43" s="124"/>
      <c r="N43" s="124"/>
      <c r="O43" s="124"/>
      <c r="P43" s="124"/>
      <c r="Q43" s="124"/>
      <c r="R43" s="124"/>
      <c r="S43" s="124"/>
      <c r="T43" s="124"/>
    </row>
    <row r="44" spans="1:20" ht="18" x14ac:dyDescent="0.6">
      <c r="A44" s="330"/>
      <c r="B44" s="374" t="s">
        <v>67</v>
      </c>
      <c r="C44" s="330"/>
      <c r="D44" s="330"/>
      <c r="E44" s="330"/>
      <c r="F44" s="330"/>
      <c r="G44" s="330"/>
      <c r="H44" s="330"/>
      <c r="I44" s="330"/>
      <c r="J44" s="330"/>
      <c r="K44" s="330"/>
      <c r="L44" s="330"/>
      <c r="M44" s="124"/>
      <c r="N44" s="124"/>
      <c r="O44" s="124"/>
      <c r="P44" s="124"/>
      <c r="Q44" s="124"/>
      <c r="R44" s="124"/>
      <c r="S44" s="124"/>
      <c r="T44" s="124"/>
    </row>
    <row r="45" spans="1:20" ht="18" x14ac:dyDescent="0.6">
      <c r="A45" s="330"/>
      <c r="B45" s="378"/>
      <c r="C45" s="409">
        <v>2016</v>
      </c>
      <c r="D45" s="409"/>
      <c r="E45" s="409"/>
      <c r="F45" s="410">
        <v>2025</v>
      </c>
      <c r="G45" s="410"/>
      <c r="H45" s="410"/>
      <c r="I45" s="411">
        <v>2030</v>
      </c>
      <c r="J45" s="411"/>
      <c r="K45" s="411"/>
      <c r="L45" s="330"/>
      <c r="M45" s="124"/>
      <c r="N45" s="124"/>
      <c r="O45" s="124"/>
      <c r="P45" s="124"/>
      <c r="Q45" s="124"/>
      <c r="R45" s="124"/>
      <c r="S45" s="124"/>
      <c r="T45" s="124"/>
    </row>
    <row r="46" spans="1:20" ht="14.7" thickBot="1" x14ac:dyDescent="0.55000000000000004">
      <c r="A46" s="375" t="s">
        <v>49</v>
      </c>
      <c r="B46" s="390" t="s">
        <v>68</v>
      </c>
      <c r="C46" s="327" t="s">
        <v>56</v>
      </c>
      <c r="D46" s="327" t="s">
        <v>57</v>
      </c>
      <c r="E46" s="327" t="s">
        <v>58</v>
      </c>
      <c r="F46" s="328" t="s">
        <v>56</v>
      </c>
      <c r="G46" s="328" t="s">
        <v>57</v>
      </c>
      <c r="H46" s="328" t="s">
        <v>58</v>
      </c>
      <c r="I46" s="329" t="s">
        <v>56</v>
      </c>
      <c r="J46" s="329" t="s">
        <v>57</v>
      </c>
      <c r="K46" s="329" t="s">
        <v>58</v>
      </c>
      <c r="L46" s="376" t="s">
        <v>59</v>
      </c>
      <c r="M46" s="124"/>
      <c r="N46" s="124"/>
      <c r="O46" s="124"/>
      <c r="P46" s="124"/>
      <c r="Q46" s="124"/>
      <c r="R46" s="124"/>
      <c r="S46" s="124"/>
      <c r="T46" s="124"/>
    </row>
    <row r="47" spans="1:20" x14ac:dyDescent="0.5">
      <c r="A47" s="330"/>
      <c r="B47" s="301" t="s">
        <v>69</v>
      </c>
      <c r="C47" s="300">
        <f>VLOOKUP($B$46,'Storage Size'!$B$4:$G$17,ROW()-ROW($C$46)+1,)</f>
        <v>1060000</v>
      </c>
      <c r="D47" s="300">
        <f>VLOOKUP($B$46,'Storage Size'!$B$4:$G$17,ROW()-ROW($C$46)+1,)</f>
        <v>1060000</v>
      </c>
      <c r="E47" s="300">
        <f>VLOOKUP($B$46,'Storage Size'!$B$4:$G$17,ROW()-ROW($C$46)+1,)</f>
        <v>1060000</v>
      </c>
      <c r="F47" s="306">
        <f>VLOOKUP($B$46,'Storage Size'!$B$4:$G$17,ROW()-ROW($C$46)+1,)</f>
        <v>1060000</v>
      </c>
      <c r="G47" s="306">
        <f>VLOOKUP($B$46,'Storage Size'!$B$4:$G$17,ROW()-ROW($C$46)+1,)</f>
        <v>1060000</v>
      </c>
      <c r="H47" s="306">
        <f>VLOOKUP($B$46,'Storage Size'!$B$4:$G$17,ROW()-ROW($C$46)+1,)</f>
        <v>1060000</v>
      </c>
      <c r="I47" s="309">
        <f>VLOOKUP($B$46,'Storage Size'!$B$4:$G$17,ROW()-ROW($C$46)+1,)</f>
        <v>1060000</v>
      </c>
      <c r="J47" s="309">
        <f>VLOOKUP($B$46,'Storage Size'!$B$4:$G$17,ROW()-ROW($C$46)+1,)</f>
        <v>1060000</v>
      </c>
      <c r="K47" s="309">
        <f>VLOOKUP($B$46,'Storage Size'!$B$4:$G$17,ROW()-ROW($C$46)+1,)</f>
        <v>1060000</v>
      </c>
      <c r="L47" s="330" t="s">
        <v>70</v>
      </c>
      <c r="M47" s="124"/>
      <c r="N47" s="124"/>
      <c r="O47" s="124"/>
      <c r="P47" s="124"/>
      <c r="Q47" s="124"/>
      <c r="R47" s="124"/>
      <c r="S47" s="124"/>
      <c r="T47" s="124"/>
    </row>
    <row r="48" spans="1:20" x14ac:dyDescent="0.5">
      <c r="A48" s="330"/>
      <c r="B48" s="301" t="s">
        <v>71</v>
      </c>
      <c r="C48" s="311">
        <f>VLOOKUP($B$46,'Storage Size'!$B$4:$G$17,ROW()-ROW($C$46)+1,)</f>
        <v>8500000</v>
      </c>
      <c r="D48" s="311">
        <f>VLOOKUP($B$46,'Storage Size'!$B$4:$G$17,ROW()-ROW($C$46)+1,)</f>
        <v>8500000</v>
      </c>
      <c r="E48" s="311">
        <f>VLOOKUP($B$46,'Storage Size'!$B$4:$G$17,ROW()-ROW($C$46)+1,)</f>
        <v>8500000</v>
      </c>
      <c r="F48" s="310">
        <f>VLOOKUP($B$46,'Storage Size'!$B$4:$G$17,ROW()-ROW($C$46)+1,)</f>
        <v>8500000</v>
      </c>
      <c r="G48" s="310">
        <f>VLOOKUP($B$46,'Storage Size'!$B$4:$G$17,ROW()-ROW($C$46)+1,)</f>
        <v>8500000</v>
      </c>
      <c r="H48" s="310">
        <f>VLOOKUP($B$46,'Storage Size'!$B$4:$G$17,ROW()-ROW($C$46)+1,)</f>
        <v>8500000</v>
      </c>
      <c r="I48" s="309">
        <f>VLOOKUP($B$46,'Storage Size'!$B$4:$G$17,ROW()-ROW($C$46)+1,)</f>
        <v>8500000</v>
      </c>
      <c r="J48" s="309">
        <f>VLOOKUP($B$46,'Storage Size'!$B$4:$G$17,ROW()-ROW($C$46)+1,)</f>
        <v>8500000</v>
      </c>
      <c r="K48" s="309">
        <f>VLOOKUP($B$46,'Storage Size'!$B$4:$G$17,ROW()-ROW($C$46)+1,)</f>
        <v>8500000</v>
      </c>
      <c r="L48" s="330" t="s">
        <v>72</v>
      </c>
      <c r="M48" s="124"/>
      <c r="N48" s="124"/>
      <c r="O48" s="124"/>
      <c r="P48" s="124"/>
      <c r="Q48" s="124"/>
      <c r="R48" s="124"/>
      <c r="S48" s="124"/>
      <c r="T48" s="124"/>
    </row>
    <row r="49" spans="1:20" x14ac:dyDescent="0.5">
      <c r="A49" s="330"/>
      <c r="B49" s="301" t="s">
        <v>73</v>
      </c>
      <c r="C49" s="312">
        <f>VLOOKUP($B$46,'Storage Size'!$B$4:$G$17,ROW()-ROW($C$46)+1,)</f>
        <v>8.0188679245283012</v>
      </c>
      <c r="D49" s="312">
        <f>VLOOKUP($B$46,'Storage Size'!$B$4:$G$17,ROW()-ROW($C$46)+1,)</f>
        <v>8.0188679245283012</v>
      </c>
      <c r="E49" s="312">
        <f>VLOOKUP($B$46,'Storage Size'!$B$4:$G$17,ROW()-ROW($C$46)+1,)</f>
        <v>8.0188679245283012</v>
      </c>
      <c r="F49" s="302">
        <f>VLOOKUP($B$46,'Storage Size'!$B$4:$G$17,ROW()-ROW($C$46)+1,)</f>
        <v>8.0188679245283012</v>
      </c>
      <c r="G49" s="302">
        <f>VLOOKUP($B$46,'Storage Size'!$B$4:$G$17,ROW()-ROW($C$46)+1,)</f>
        <v>8.0188679245283012</v>
      </c>
      <c r="H49" s="302">
        <f>VLOOKUP($B$46,'Storage Size'!$B$4:$G$17,ROW()-ROW($C$46)+1,)</f>
        <v>8.0188679245283012</v>
      </c>
      <c r="I49" s="313">
        <f>VLOOKUP($B$46,'Storage Size'!$B$4:$G$17,ROW()-ROW($C$46)+1,)</f>
        <v>8.0188679245283012</v>
      </c>
      <c r="J49" s="313">
        <f>VLOOKUP($B$46,'Storage Size'!$B$4:$G$17,ROW()-ROW($C$46)+1,)</f>
        <v>8.0188679245283012</v>
      </c>
      <c r="K49" s="313">
        <f>VLOOKUP($B$46,'Storage Size'!$B$4:$G$17,ROW()-ROW($C$46)+1,)</f>
        <v>8.0188679245283012</v>
      </c>
      <c r="L49" s="330" t="s">
        <v>74</v>
      </c>
      <c r="M49" s="124"/>
      <c r="N49" s="124"/>
      <c r="O49" s="124"/>
      <c r="P49" s="124"/>
      <c r="Q49" s="124"/>
      <c r="R49" s="124"/>
      <c r="S49" s="124"/>
      <c r="T49" s="124"/>
    </row>
    <row r="50" spans="1:20" x14ac:dyDescent="0.5">
      <c r="A50" s="330"/>
      <c r="B50" s="301" t="s">
        <v>75</v>
      </c>
      <c r="C50" s="331" t="str">
        <f t="shared" ref="C50:K50" ca="1" si="34">IF(C49&lt;C16,"Size not suitable","OK")</f>
        <v>OK</v>
      </c>
      <c r="D50" s="331" t="str">
        <f t="shared" ca="1" si="34"/>
        <v>OK</v>
      </c>
      <c r="E50" s="331" t="str">
        <f t="shared" ca="1" si="34"/>
        <v>OK</v>
      </c>
      <c r="F50" s="331" t="str">
        <f t="shared" ca="1" si="34"/>
        <v>OK</v>
      </c>
      <c r="G50" s="331" t="str">
        <f t="shared" ca="1" si="34"/>
        <v>OK</v>
      </c>
      <c r="H50" s="331" t="str">
        <f t="shared" ca="1" si="34"/>
        <v>OK</v>
      </c>
      <c r="I50" s="331" t="str">
        <f t="shared" ca="1" si="34"/>
        <v>OK</v>
      </c>
      <c r="J50" s="331" t="str">
        <f t="shared" ca="1" si="34"/>
        <v>OK</v>
      </c>
      <c r="K50" s="331" t="str">
        <f t="shared" ca="1" si="34"/>
        <v>OK</v>
      </c>
      <c r="L50" s="330" t="s">
        <v>76</v>
      </c>
      <c r="M50" s="124"/>
      <c r="N50" s="124"/>
      <c r="O50" s="124"/>
      <c r="P50" s="124"/>
      <c r="Q50" s="124"/>
      <c r="R50" s="124"/>
      <c r="S50" s="124"/>
      <c r="T50" s="124"/>
    </row>
    <row r="51" spans="1:20" x14ac:dyDescent="0.5">
      <c r="A51" s="13"/>
      <c r="B51"/>
      <c r="C51" s="13"/>
      <c r="D51" s="13"/>
      <c r="E51" s="13"/>
      <c r="F51" s="13"/>
      <c r="G51" s="13"/>
      <c r="H51" s="13"/>
      <c r="I51" s="13"/>
      <c r="J51" s="13"/>
      <c r="K51" s="13"/>
      <c r="L51" s="13"/>
      <c r="M51" s="124"/>
      <c r="N51" s="124"/>
      <c r="O51" s="124"/>
      <c r="P51" s="124"/>
      <c r="Q51" s="124"/>
      <c r="R51" s="124"/>
      <c r="S51" s="124"/>
      <c r="T51" s="124"/>
    </row>
    <row r="52" spans="1:20" ht="18" x14ac:dyDescent="0.6">
      <c r="A52" s="330"/>
      <c r="B52" s="374" t="s">
        <v>77</v>
      </c>
      <c r="C52" s="330"/>
      <c r="D52" s="330"/>
      <c r="E52" s="330"/>
      <c r="F52" s="330"/>
      <c r="G52" s="330"/>
      <c r="H52" s="330"/>
      <c r="I52" s="330"/>
      <c r="J52" s="330"/>
      <c r="K52" s="330"/>
      <c r="L52" s="330"/>
      <c r="M52" s="124"/>
      <c r="N52" s="124"/>
      <c r="O52" s="124"/>
      <c r="P52" s="124"/>
      <c r="Q52" s="124"/>
      <c r="R52" s="124"/>
      <c r="S52" s="124"/>
      <c r="T52" s="124"/>
    </row>
    <row r="53" spans="1:20" ht="18" x14ac:dyDescent="0.6">
      <c r="A53" s="330"/>
      <c r="B53" s="378"/>
      <c r="C53" s="409">
        <v>2016</v>
      </c>
      <c r="D53" s="409"/>
      <c r="E53" s="409"/>
      <c r="F53" s="410">
        <v>2025</v>
      </c>
      <c r="G53" s="410"/>
      <c r="H53" s="410"/>
      <c r="I53" s="411">
        <v>2030</v>
      </c>
      <c r="J53" s="411"/>
      <c r="K53" s="411"/>
      <c r="L53" s="330"/>
      <c r="M53" s="124"/>
      <c r="N53" s="124"/>
      <c r="O53" s="124"/>
      <c r="P53" s="124"/>
      <c r="Q53" s="124"/>
      <c r="R53" s="124"/>
      <c r="S53" s="124"/>
      <c r="T53" s="124"/>
    </row>
    <row r="54" spans="1:20" ht="14.7" thickBot="1" x14ac:dyDescent="0.55000000000000004">
      <c r="A54" s="375" t="s">
        <v>49</v>
      </c>
      <c r="B54" s="390" t="s">
        <v>211</v>
      </c>
      <c r="C54" s="327" t="s">
        <v>56</v>
      </c>
      <c r="D54" s="327" t="s">
        <v>57</v>
      </c>
      <c r="E54" s="327" t="s">
        <v>58</v>
      </c>
      <c r="F54" s="328" t="s">
        <v>56</v>
      </c>
      <c r="G54" s="328" t="s">
        <v>57</v>
      </c>
      <c r="H54" s="328" t="s">
        <v>58</v>
      </c>
      <c r="I54" s="329" t="s">
        <v>56</v>
      </c>
      <c r="J54" s="329" t="s">
        <v>57</v>
      </c>
      <c r="K54" s="329" t="s">
        <v>58</v>
      </c>
      <c r="L54" s="376" t="s">
        <v>59</v>
      </c>
      <c r="M54" s="124"/>
      <c r="N54" s="124"/>
      <c r="O54" s="124"/>
      <c r="P54" s="124"/>
      <c r="Q54" s="124"/>
      <c r="R54" s="124"/>
      <c r="S54" s="124"/>
      <c r="T54" s="124"/>
    </row>
    <row r="55" spans="1:20" x14ac:dyDescent="0.5">
      <c r="A55" s="330"/>
      <c r="B55" s="301" t="s">
        <v>79</v>
      </c>
      <c r="C55" s="300">
        <f>VLOOKUP($B$54,Applications!$B$5:$I$47,ROW()-ROW($C$54)+1,)</f>
        <v>2400</v>
      </c>
      <c r="D55" s="300">
        <f>VLOOKUP($B$54,Applications!$B$5:$I$47,ROW()-ROW($C$54)+1,)</f>
        <v>2400</v>
      </c>
      <c r="E55" s="300">
        <f>VLOOKUP($B$54,Applications!$B$5:$I$47,ROW()-ROW($C$54)+1,)</f>
        <v>2400</v>
      </c>
      <c r="F55" s="310">
        <f>VLOOKUP($B$54,Applications!$B$5:$I$47,ROW()-ROW($C$54)+1,)</f>
        <v>2400</v>
      </c>
      <c r="G55" s="310">
        <f>VLOOKUP($B$54,Applications!$B$5:$I$47,ROW()-ROW($C$54)+1,)</f>
        <v>2400</v>
      </c>
      <c r="H55" s="310">
        <f>VLOOKUP($B$54,Applications!$B$5:$I$47,ROW()-ROW($C$54)+1,)</f>
        <v>2400</v>
      </c>
      <c r="I55" s="309">
        <f>VLOOKUP($B$54,Applications!$B$5:$I$47,ROW()-ROW($C$54)+1,)</f>
        <v>2400</v>
      </c>
      <c r="J55" s="309">
        <f>VLOOKUP($B$54,Applications!$B$5:$I$47,ROW()-ROW($C$54)+1,)</f>
        <v>2400</v>
      </c>
      <c r="K55" s="309">
        <f>VLOOKUP($B$54,Applications!$B$5:$I$47,ROW()-ROW($C$54)+1,)</f>
        <v>2400</v>
      </c>
      <c r="L55" s="330" t="s">
        <v>70</v>
      </c>
      <c r="M55" s="124"/>
      <c r="N55" s="124"/>
      <c r="O55" s="124"/>
      <c r="P55" s="124"/>
      <c r="Q55" s="124"/>
      <c r="R55" s="124"/>
      <c r="S55" s="124"/>
      <c r="T55" s="124"/>
    </row>
    <row r="56" spans="1:20" x14ac:dyDescent="0.5">
      <c r="A56" s="330"/>
      <c r="B56" s="301" t="s">
        <v>80</v>
      </c>
      <c r="C56" s="300">
        <f>VLOOKUP($B$54,Applications!$B$5:$I$47,ROW()-ROW($C$54)+1,)</f>
        <v>1160</v>
      </c>
      <c r="D56" s="300">
        <f>VLOOKUP($B$54,Applications!$B$5:$I$47,ROW()-ROW($C$54)+1,)</f>
        <v>1160</v>
      </c>
      <c r="E56" s="300">
        <f>VLOOKUP($B$54,Applications!$B$5:$I$47,ROW()-ROW($C$54)+1,)</f>
        <v>1160</v>
      </c>
      <c r="F56" s="310">
        <f>VLOOKUP($B$54,Applications!$B$5:$I$47,ROW()-ROW($C$54)+1,)</f>
        <v>1160</v>
      </c>
      <c r="G56" s="310">
        <f>VLOOKUP($B$54,Applications!$B$5:$I$47,ROW()-ROW($C$54)+1,)</f>
        <v>1160</v>
      </c>
      <c r="H56" s="310">
        <f>VLOOKUP($B$54,Applications!$B$5:$I$47,ROW()-ROW($C$54)+1,)</f>
        <v>1160</v>
      </c>
      <c r="I56" s="309">
        <f>VLOOKUP($B$54,Applications!$B$5:$I$47,ROW()-ROW($C$54)+1,)</f>
        <v>1160</v>
      </c>
      <c r="J56" s="309">
        <f>VLOOKUP($B$54,Applications!$B$5:$I$47,ROW()-ROW($C$54)+1,)</f>
        <v>1160</v>
      </c>
      <c r="K56" s="309">
        <f>VLOOKUP($B$54,Applications!$B$5:$I$47,ROW()-ROW($C$54)+1,)</f>
        <v>1160</v>
      </c>
      <c r="L56" s="330" t="s">
        <v>72</v>
      </c>
      <c r="M56" s="124"/>
      <c r="N56" s="124"/>
      <c r="O56" s="124"/>
      <c r="P56" s="124"/>
      <c r="Q56" s="124"/>
      <c r="R56" s="124"/>
      <c r="S56" s="124"/>
      <c r="T56" s="124"/>
    </row>
    <row r="57" spans="1:20" x14ac:dyDescent="0.5">
      <c r="A57" s="330"/>
      <c r="B57" s="301" t="s">
        <v>73</v>
      </c>
      <c r="C57" s="312">
        <f>VLOOKUP($B$54,Applications!$B$5:$I$47,ROW()-ROW($C$54)+1,)</f>
        <v>0.48333333333333334</v>
      </c>
      <c r="D57" s="312">
        <f>VLOOKUP($B$54,Applications!$B$5:$I$47,ROW()-ROW($C$54)+1,)</f>
        <v>0.48333333333333334</v>
      </c>
      <c r="E57" s="312">
        <f>VLOOKUP($B$54,Applications!$B$5:$I$47,ROW()-ROW($C$54)+1,)</f>
        <v>0.48333333333333334</v>
      </c>
      <c r="F57" s="302">
        <f>VLOOKUP($B$54,Applications!$B$5:$I$47,ROW()-ROW($C$54)+1,)</f>
        <v>0.48333333333333334</v>
      </c>
      <c r="G57" s="302">
        <f>VLOOKUP($B$54,Applications!$B$5:$I$47,ROW()-ROW($C$54)+1,)</f>
        <v>0.48333333333333334</v>
      </c>
      <c r="H57" s="302">
        <f>VLOOKUP($B$54,Applications!$B$5:$I$47,ROW()-ROW($C$54)+1,)</f>
        <v>0.48333333333333334</v>
      </c>
      <c r="I57" s="313">
        <f>VLOOKUP($B$54,Applications!$B$5:$I$47,ROW()-ROW($C$54)+1,)</f>
        <v>0.48333333333333334</v>
      </c>
      <c r="J57" s="313">
        <f>VLOOKUP($B$54,Applications!$B$5:$I$47,ROW()-ROW($C$54)+1,)</f>
        <v>0.48333333333333334</v>
      </c>
      <c r="K57" s="313">
        <f>VLOOKUP($B$54,Applications!$B$5:$I$47,ROW()-ROW($C$54)+1,)</f>
        <v>0.48333333333333334</v>
      </c>
      <c r="L57" s="330" t="s">
        <v>74</v>
      </c>
      <c r="M57" s="124"/>
      <c r="N57" s="124"/>
      <c r="O57" s="124"/>
      <c r="P57" s="124"/>
      <c r="Q57" s="124"/>
      <c r="R57" s="124"/>
      <c r="S57" s="124"/>
      <c r="T57" s="124"/>
    </row>
    <row r="58" spans="1:20" x14ac:dyDescent="0.5">
      <c r="A58" s="330"/>
      <c r="B58" s="301" t="s">
        <v>81</v>
      </c>
      <c r="C58" s="300">
        <f>VLOOKUP($B$54,Applications!$B$5:$I$47,ROW()-ROW($C$54)+1,)</f>
        <v>70</v>
      </c>
      <c r="D58" s="300">
        <f>VLOOKUP($B$54,Applications!$B$5:$I$47,ROW()-ROW($C$54)+1,)</f>
        <v>70</v>
      </c>
      <c r="E58" s="300">
        <f>VLOOKUP($B$54,Applications!$B$5:$I$47,ROW()-ROW($C$54)+1,)</f>
        <v>70</v>
      </c>
      <c r="F58" s="310">
        <f>VLOOKUP($B$54,Applications!$B$5:$I$47,ROW()-ROW($C$54)+1,)</f>
        <v>70</v>
      </c>
      <c r="G58" s="310">
        <f>VLOOKUP($B$54,Applications!$B$5:$I$47,ROW()-ROW($C$54)+1,)</f>
        <v>70</v>
      </c>
      <c r="H58" s="310">
        <f>VLOOKUP($B$54,Applications!$B$5:$I$47,ROW()-ROW($C$54)+1,)</f>
        <v>70</v>
      </c>
      <c r="I58" s="309">
        <f>VLOOKUP($B$54,Applications!$B$5:$I$47,ROW()-ROW($C$54)+1,)</f>
        <v>70</v>
      </c>
      <c r="J58" s="309">
        <f>VLOOKUP($B$54,Applications!$B$5:$I$47,ROW()-ROW($C$54)+1,)</f>
        <v>70</v>
      </c>
      <c r="K58" s="309">
        <f>VLOOKUP($B$54,Applications!$B$5:$I$47,ROW()-ROW($C$54)+1,)</f>
        <v>70</v>
      </c>
      <c r="L58" s="330" t="s">
        <v>66</v>
      </c>
      <c r="M58" s="124"/>
      <c r="N58" s="124"/>
      <c r="O58" s="124"/>
      <c r="P58" s="124"/>
      <c r="Q58" s="124"/>
      <c r="R58" s="124"/>
      <c r="S58" s="124"/>
      <c r="T58" s="124"/>
    </row>
    <row r="59" spans="1:20" x14ac:dyDescent="0.5">
      <c r="A59" s="330"/>
      <c r="B59" s="301" t="s">
        <v>82</v>
      </c>
      <c r="C59" s="300">
        <f>VLOOKUP($B$54,Applications!$B$5:$I$47,ROW()-ROW($C$54)+1,)</f>
        <v>2</v>
      </c>
      <c r="D59" s="300">
        <f>VLOOKUP($B$54,Applications!$B$5:$I$47,ROW()-ROW($C$54)+1,)</f>
        <v>2</v>
      </c>
      <c r="E59" s="300">
        <f>VLOOKUP($B$54,Applications!$B$5:$I$47,ROW()-ROW($C$54)+1,)</f>
        <v>2</v>
      </c>
      <c r="F59" s="306">
        <f>VLOOKUP($B$54,Applications!$B$5:$I$47,ROW()-ROW($C$54)+1,)</f>
        <v>2</v>
      </c>
      <c r="G59" s="306">
        <f>VLOOKUP($B$54,Applications!$B$5:$I$47,ROW()-ROW($C$54)+1,)</f>
        <v>2</v>
      </c>
      <c r="H59" s="306">
        <f>VLOOKUP($B$54,Applications!$B$5:$I$47,ROW()-ROW($C$54)+1,)</f>
        <v>2</v>
      </c>
      <c r="I59" s="307">
        <f>VLOOKUP($B$54,Applications!$B$5:$I$47,ROW()-ROW($C$54)+1,)</f>
        <v>2</v>
      </c>
      <c r="J59" s="307">
        <f>VLOOKUP($B$54,Applications!$B$5:$I$47,ROW()-ROW($C$54)+1,)</f>
        <v>2</v>
      </c>
      <c r="K59" s="307">
        <f>VLOOKUP($B$54,Applications!$B$5:$I$47,ROW()-ROW($C$54)+1,)</f>
        <v>2</v>
      </c>
      <c r="L59" s="330" t="s">
        <v>83</v>
      </c>
      <c r="M59" s="124"/>
      <c r="N59" s="124"/>
      <c r="O59" s="124"/>
      <c r="P59" s="124"/>
      <c r="Q59" s="124"/>
      <c r="R59" s="124"/>
      <c r="S59" s="124"/>
      <c r="T59" s="124"/>
    </row>
    <row r="60" spans="1:20" x14ac:dyDescent="0.5">
      <c r="A60" s="330"/>
      <c r="B60" s="301" t="s">
        <v>84</v>
      </c>
      <c r="C60" s="300" t="str">
        <f>VLOOKUP($B$54,Applications!$B$5:$I$47,ROW()-ROW($C$54)+1,)</f>
        <v>Energy</v>
      </c>
      <c r="D60" s="300" t="str">
        <f>VLOOKUP($B$54,Applications!$B$5:$I$47,ROW()-ROW($C$54)+1,)</f>
        <v>Energy</v>
      </c>
      <c r="E60" s="300" t="str">
        <f>VLOOKUP($B$54,Applications!$B$5:$I$47,ROW()-ROW($C$54)+1,)</f>
        <v>Energy</v>
      </c>
      <c r="F60" s="306" t="str">
        <f>VLOOKUP($B$54,Applications!$B$5:$I$47,ROW()-ROW($C$54)+1,)</f>
        <v>Energy</v>
      </c>
      <c r="G60" s="306" t="str">
        <f>VLOOKUP($B$54,Applications!$B$5:$I$47,ROW()-ROW($C$54)+1,)</f>
        <v>Energy</v>
      </c>
      <c r="H60" s="306" t="str">
        <f>VLOOKUP($B$54,Applications!$B$5:$I$47,ROW()-ROW($C$54)+1,)</f>
        <v>Energy</v>
      </c>
      <c r="I60" s="307" t="str">
        <f>VLOOKUP($B$54,Applications!$B$5:$I$47,ROW()-ROW($C$54)+1,)</f>
        <v>Energy</v>
      </c>
      <c r="J60" s="307" t="str">
        <f>VLOOKUP($B$54,Applications!$B$5:$I$47,ROW()-ROW($C$54)+1,)</f>
        <v>Energy</v>
      </c>
      <c r="K60" s="307" t="str">
        <f>VLOOKUP($B$54,Applications!$B$5:$I$47,ROW()-ROW($C$54)+1,)</f>
        <v>Energy</v>
      </c>
      <c r="L60" s="330"/>
      <c r="M60" s="124"/>
      <c r="N60" s="124"/>
      <c r="O60" s="124"/>
      <c r="P60" s="124"/>
      <c r="Q60" s="124"/>
      <c r="R60" s="124"/>
      <c r="S60" s="124"/>
      <c r="T60" s="124"/>
    </row>
    <row r="61" spans="1:20" x14ac:dyDescent="0.5">
      <c r="A61" s="330"/>
      <c r="B61" s="301" t="s">
        <v>85</v>
      </c>
      <c r="C61" s="300">
        <f>VLOOKUP($B$54,Applications!$B$5:$I$47,ROW()-ROW($C$54)+1,)</f>
        <v>10</v>
      </c>
      <c r="D61" s="300">
        <f>VLOOKUP($B$54,Applications!$B$5:$I$47,ROW()-ROW($C$54)+1,)</f>
        <v>10</v>
      </c>
      <c r="E61" s="300">
        <f>VLOOKUP($B$54,Applications!$B$5:$I$47,ROW()-ROW($C$54)+1,)</f>
        <v>10</v>
      </c>
      <c r="F61" s="310">
        <f>VLOOKUP($B$54,Applications!$B$5:$I$47,ROW()-ROW($C$54)+1,)</f>
        <v>10</v>
      </c>
      <c r="G61" s="310">
        <f>VLOOKUP($B$54,Applications!$B$5:$I$47,ROW()-ROW($C$54)+1,)</f>
        <v>10</v>
      </c>
      <c r="H61" s="310">
        <f>VLOOKUP($B$54,Applications!$B$5:$I$47,ROW()-ROW($C$54)+1,)</f>
        <v>10</v>
      </c>
      <c r="I61" s="309">
        <f>VLOOKUP($B$54,Applications!$B$5:$I$47,ROW()-ROW($C$54)+1,)</f>
        <v>10</v>
      </c>
      <c r="J61" s="309">
        <f>VLOOKUP($B$54,Applications!$B$5:$I$47,ROW()-ROW($C$54)+1,)</f>
        <v>10</v>
      </c>
      <c r="K61" s="309">
        <f>VLOOKUP($B$54,Applications!$B$5:$I$47,ROW()-ROW($C$54)+1,)</f>
        <v>10</v>
      </c>
      <c r="L61" s="330" t="s">
        <v>86</v>
      </c>
      <c r="M61" s="124"/>
      <c r="N61" s="124"/>
      <c r="O61" s="124"/>
      <c r="P61" s="124"/>
      <c r="Q61" s="124"/>
      <c r="R61" s="124"/>
      <c r="S61" s="124"/>
      <c r="T61" s="124"/>
    </row>
    <row r="62" spans="1:20" x14ac:dyDescent="0.5">
      <c r="B62" s="124"/>
      <c r="C62" s="13"/>
      <c r="D62" s="13"/>
      <c r="E62" s="13"/>
      <c r="F62" s="13"/>
      <c r="G62" s="13"/>
      <c r="H62" s="13"/>
      <c r="I62" s="13"/>
      <c r="J62" s="13"/>
      <c r="K62" s="13"/>
      <c r="L62" s="13"/>
      <c r="M62" s="124"/>
      <c r="N62" s="124"/>
      <c r="O62" s="124"/>
      <c r="P62" s="124"/>
      <c r="Q62" s="124"/>
      <c r="R62" s="124"/>
      <c r="S62" s="124"/>
      <c r="T62" s="124"/>
    </row>
    <row r="63" spans="1:20" x14ac:dyDescent="0.5">
      <c r="B63" s="124"/>
      <c r="C63" s="13"/>
      <c r="D63" s="13"/>
      <c r="E63" s="13"/>
      <c r="F63" s="13"/>
      <c r="G63" s="13"/>
      <c r="H63" s="13"/>
      <c r="I63" s="13"/>
      <c r="J63" s="13"/>
      <c r="K63" s="13"/>
      <c r="L63" s="13"/>
      <c r="M63" s="124"/>
      <c r="N63" s="124"/>
      <c r="O63" s="124"/>
      <c r="P63" s="124"/>
      <c r="Q63" s="124"/>
      <c r="R63" s="124"/>
      <c r="S63" s="124"/>
      <c r="T63" s="124"/>
    </row>
    <row r="64" spans="1:20" ht="18" x14ac:dyDescent="0.6">
      <c r="A64" s="330"/>
      <c r="B64" s="374" t="s">
        <v>87</v>
      </c>
      <c r="C64" s="330"/>
      <c r="D64" s="330"/>
      <c r="E64" s="330"/>
      <c r="F64" s="330"/>
      <c r="G64" s="330"/>
      <c r="H64" s="330"/>
      <c r="I64" s="330"/>
      <c r="J64" s="330"/>
      <c r="K64" s="330"/>
      <c r="L64" s="330"/>
      <c r="M64" s="124"/>
      <c r="N64" s="124"/>
      <c r="O64" s="124"/>
      <c r="P64" s="124"/>
      <c r="Q64" s="124"/>
      <c r="R64" s="124"/>
      <c r="S64" s="124"/>
      <c r="T64" s="124"/>
    </row>
    <row r="65" spans="1:20" ht="18" x14ac:dyDescent="0.6">
      <c r="A65" s="330"/>
      <c r="B65" s="378"/>
      <c r="C65" s="409">
        <v>2016</v>
      </c>
      <c r="D65" s="409"/>
      <c r="E65" s="409"/>
      <c r="F65" s="410">
        <v>2025</v>
      </c>
      <c r="G65" s="410"/>
      <c r="H65" s="410"/>
      <c r="I65" s="411">
        <v>2030</v>
      </c>
      <c r="J65" s="411"/>
      <c r="K65" s="411"/>
      <c r="L65" s="330"/>
      <c r="M65" s="124"/>
      <c r="N65" s="124"/>
      <c r="O65" s="124"/>
      <c r="P65" s="124"/>
      <c r="Q65" s="124"/>
      <c r="R65" s="124"/>
      <c r="S65" s="124"/>
      <c r="T65" s="124"/>
    </row>
    <row r="66" spans="1:20" ht="14.7" thickBot="1" x14ac:dyDescent="0.55000000000000004">
      <c r="A66" s="375" t="s">
        <v>88</v>
      </c>
      <c r="B66" s="391" t="s">
        <v>89</v>
      </c>
      <c r="C66" s="327" t="s">
        <v>56</v>
      </c>
      <c r="D66" s="327" t="s">
        <v>57</v>
      </c>
      <c r="E66" s="327" t="s">
        <v>58</v>
      </c>
      <c r="F66" s="328" t="s">
        <v>56</v>
      </c>
      <c r="G66" s="328" t="s">
        <v>57</v>
      </c>
      <c r="H66" s="328" t="s">
        <v>58</v>
      </c>
      <c r="I66" s="329" t="s">
        <v>56</v>
      </c>
      <c r="J66" s="329" t="s">
        <v>57</v>
      </c>
      <c r="K66" s="329" t="s">
        <v>58</v>
      </c>
      <c r="L66" s="376" t="s">
        <v>59</v>
      </c>
      <c r="M66" s="124"/>
      <c r="N66" s="124"/>
      <c r="O66" s="124"/>
      <c r="P66" s="124"/>
      <c r="Q66" s="124"/>
      <c r="R66" s="124"/>
      <c r="S66" s="124"/>
      <c r="T66" s="124"/>
    </row>
    <row r="67" spans="1:20" x14ac:dyDescent="0.5">
      <c r="A67" s="330"/>
      <c r="B67" s="301" t="s">
        <v>90</v>
      </c>
      <c r="C67" s="392">
        <v>1.4999999999999999E-2</v>
      </c>
      <c r="D67" s="393">
        <f t="shared" ref="D67:E71" si="35">C67</f>
        <v>1.4999999999999999E-2</v>
      </c>
      <c r="E67" s="393">
        <f t="shared" si="35"/>
        <v>1.4999999999999999E-2</v>
      </c>
      <c r="F67" s="394">
        <f t="shared" ref="F67:F72" si="36">E67</f>
        <v>1.4999999999999999E-2</v>
      </c>
      <c r="G67" s="394">
        <f t="shared" ref="G67:G72" si="37">F67</f>
        <v>1.4999999999999999E-2</v>
      </c>
      <c r="H67" s="394">
        <f t="shared" ref="H67:H72" si="38">G67</f>
        <v>1.4999999999999999E-2</v>
      </c>
      <c r="I67" s="395">
        <f t="shared" ref="I67:I72" si="39">H67</f>
        <v>1.4999999999999999E-2</v>
      </c>
      <c r="J67" s="395">
        <f t="shared" ref="J67:J72" si="40">I67</f>
        <v>1.4999999999999999E-2</v>
      </c>
      <c r="K67" s="395">
        <f t="shared" ref="K67:K72" si="41">J67</f>
        <v>1.4999999999999999E-2</v>
      </c>
      <c r="L67" s="379" t="s">
        <v>91</v>
      </c>
      <c r="M67" s="124"/>
      <c r="N67" s="124"/>
      <c r="O67" s="124"/>
      <c r="P67" s="124"/>
      <c r="Q67" s="124"/>
      <c r="R67" s="124"/>
      <c r="S67" s="124"/>
      <c r="T67" s="124"/>
    </row>
    <row r="68" spans="1:20" x14ac:dyDescent="0.5">
      <c r="A68" s="375"/>
      <c r="B68" s="301" t="s">
        <v>92</v>
      </c>
      <c r="C68" s="392">
        <v>1.4999999999999999E-2</v>
      </c>
      <c r="D68" s="393">
        <f t="shared" si="35"/>
        <v>1.4999999999999999E-2</v>
      </c>
      <c r="E68" s="393">
        <f t="shared" si="35"/>
        <v>1.4999999999999999E-2</v>
      </c>
      <c r="F68" s="394">
        <f t="shared" si="36"/>
        <v>1.4999999999999999E-2</v>
      </c>
      <c r="G68" s="394">
        <f t="shared" si="37"/>
        <v>1.4999999999999999E-2</v>
      </c>
      <c r="H68" s="394">
        <f t="shared" si="38"/>
        <v>1.4999999999999999E-2</v>
      </c>
      <c r="I68" s="395">
        <f t="shared" si="39"/>
        <v>1.4999999999999999E-2</v>
      </c>
      <c r="J68" s="395">
        <f t="shared" si="40"/>
        <v>1.4999999999999999E-2</v>
      </c>
      <c r="K68" s="395">
        <f t="shared" si="41"/>
        <v>1.4999999999999999E-2</v>
      </c>
      <c r="L68" s="379" t="s">
        <v>91</v>
      </c>
      <c r="M68" s="124"/>
      <c r="N68" s="124"/>
      <c r="O68" s="124"/>
      <c r="P68" s="124"/>
      <c r="Q68" s="124"/>
      <c r="R68" s="124"/>
      <c r="S68" s="124"/>
      <c r="T68" s="124"/>
    </row>
    <row r="69" spans="1:20" x14ac:dyDescent="0.5">
      <c r="A69" s="375"/>
      <c r="B69" s="301" t="s">
        <v>93</v>
      </c>
      <c r="C69" s="392">
        <v>0.01</v>
      </c>
      <c r="D69" s="393">
        <v>0.01</v>
      </c>
      <c r="E69" s="393">
        <v>0.01</v>
      </c>
      <c r="F69" s="394">
        <v>0.01</v>
      </c>
      <c r="G69" s="394">
        <v>0.01</v>
      </c>
      <c r="H69" s="394">
        <v>0.01</v>
      </c>
      <c r="I69" s="395">
        <v>0.01</v>
      </c>
      <c r="J69" s="395">
        <v>0.01</v>
      </c>
      <c r="K69" s="395">
        <v>0.01</v>
      </c>
      <c r="L69" s="379" t="s">
        <v>91</v>
      </c>
      <c r="M69" s="124"/>
      <c r="N69" s="124"/>
      <c r="O69" s="124"/>
      <c r="P69" s="124"/>
      <c r="Q69" s="124"/>
      <c r="R69" s="124"/>
      <c r="S69" s="124"/>
      <c r="T69" s="124"/>
    </row>
    <row r="70" spans="1:20" x14ac:dyDescent="0.5">
      <c r="A70" s="375"/>
      <c r="B70" s="301" t="s">
        <v>94</v>
      </c>
      <c r="C70" s="392">
        <v>0.03</v>
      </c>
      <c r="D70" s="393">
        <f t="shared" si="35"/>
        <v>0.03</v>
      </c>
      <c r="E70" s="393">
        <f t="shared" si="35"/>
        <v>0.03</v>
      </c>
      <c r="F70" s="394">
        <f t="shared" si="36"/>
        <v>0.03</v>
      </c>
      <c r="G70" s="394">
        <f t="shared" si="37"/>
        <v>0.03</v>
      </c>
      <c r="H70" s="394">
        <f t="shared" si="38"/>
        <v>0.03</v>
      </c>
      <c r="I70" s="395">
        <f t="shared" si="39"/>
        <v>0.03</v>
      </c>
      <c r="J70" s="395">
        <f t="shared" si="40"/>
        <v>0.03</v>
      </c>
      <c r="K70" s="395">
        <f t="shared" si="41"/>
        <v>0.03</v>
      </c>
      <c r="L70" s="380" t="s">
        <v>66</v>
      </c>
      <c r="M70" s="124"/>
      <c r="N70" s="124"/>
      <c r="O70" s="124"/>
      <c r="P70" s="124"/>
      <c r="Q70" s="124"/>
      <c r="R70" s="124"/>
      <c r="S70" s="124"/>
      <c r="T70" s="124"/>
    </row>
    <row r="71" spans="1:20" x14ac:dyDescent="0.5">
      <c r="A71" s="375"/>
      <c r="B71" s="301" t="s">
        <v>95</v>
      </c>
      <c r="C71" s="396">
        <v>0</v>
      </c>
      <c r="D71" s="397">
        <f t="shared" si="35"/>
        <v>0</v>
      </c>
      <c r="E71" s="397">
        <f t="shared" si="35"/>
        <v>0</v>
      </c>
      <c r="F71" s="398">
        <f t="shared" si="36"/>
        <v>0</v>
      </c>
      <c r="G71" s="398">
        <f t="shared" si="37"/>
        <v>0</v>
      </c>
      <c r="H71" s="398">
        <f t="shared" si="38"/>
        <v>0</v>
      </c>
      <c r="I71" s="399">
        <f t="shared" si="39"/>
        <v>0</v>
      </c>
      <c r="J71" s="399">
        <f t="shared" si="40"/>
        <v>0</v>
      </c>
      <c r="K71" s="399">
        <f t="shared" si="41"/>
        <v>0</v>
      </c>
      <c r="L71" s="330" t="s">
        <v>96</v>
      </c>
      <c r="M71" s="124"/>
      <c r="N71" s="124"/>
      <c r="O71" s="124"/>
      <c r="P71" s="124"/>
      <c r="Q71" s="124"/>
      <c r="R71" s="124"/>
      <c r="S71" s="124"/>
      <c r="T71" s="124"/>
    </row>
    <row r="72" spans="1:20" x14ac:dyDescent="0.5">
      <c r="A72" s="375"/>
      <c r="B72" s="301" t="s">
        <v>97</v>
      </c>
      <c r="C72" s="396">
        <v>0</v>
      </c>
      <c r="D72" s="397">
        <f>C72</f>
        <v>0</v>
      </c>
      <c r="E72" s="397">
        <f t="shared" ref="E72" si="42">D72</f>
        <v>0</v>
      </c>
      <c r="F72" s="400">
        <f t="shared" si="36"/>
        <v>0</v>
      </c>
      <c r="G72" s="400">
        <f t="shared" si="37"/>
        <v>0</v>
      </c>
      <c r="H72" s="400">
        <f t="shared" si="38"/>
        <v>0</v>
      </c>
      <c r="I72" s="399">
        <f t="shared" si="39"/>
        <v>0</v>
      </c>
      <c r="J72" s="399">
        <f t="shared" si="40"/>
        <v>0</v>
      </c>
      <c r="K72" s="399">
        <f t="shared" si="41"/>
        <v>0</v>
      </c>
      <c r="L72" s="330" t="s">
        <v>98</v>
      </c>
      <c r="M72" s="124"/>
      <c r="N72" s="124"/>
      <c r="O72" s="124"/>
      <c r="P72" s="124"/>
      <c r="Q72" s="124"/>
      <c r="R72" s="124"/>
      <c r="S72" s="124"/>
      <c r="T72" s="124"/>
    </row>
    <row r="73" spans="1:20" x14ac:dyDescent="0.5">
      <c r="B73" s="124"/>
      <c r="C73" s="13"/>
      <c r="D73" s="13"/>
      <c r="E73" s="13"/>
      <c r="F73" s="13"/>
      <c r="G73" s="13"/>
      <c r="H73" s="13"/>
      <c r="I73" s="13"/>
      <c r="J73" s="13"/>
      <c r="K73" s="13"/>
      <c r="L73" s="13"/>
      <c r="M73" s="124"/>
      <c r="N73" s="124"/>
      <c r="O73" s="124"/>
      <c r="P73" s="124"/>
      <c r="Q73" s="124"/>
      <c r="R73" s="124"/>
      <c r="S73" s="124"/>
      <c r="T73" s="124"/>
    </row>
    <row r="74" spans="1:20" x14ac:dyDescent="0.5">
      <c r="B74" s="124"/>
      <c r="C74" s="13"/>
      <c r="D74" s="13"/>
      <c r="E74" s="13"/>
      <c r="F74" s="13"/>
      <c r="G74" s="13"/>
      <c r="H74" s="13"/>
      <c r="I74" s="13"/>
      <c r="J74" s="13"/>
      <c r="K74" s="13"/>
      <c r="L74" s="13"/>
      <c r="M74" s="124"/>
      <c r="N74" s="124"/>
      <c r="O74" s="124"/>
      <c r="P74" s="124"/>
      <c r="Q74" s="124"/>
      <c r="R74" s="124"/>
      <c r="S74" s="124"/>
      <c r="T74" s="124"/>
    </row>
    <row r="75" spans="1:20" ht="18" x14ac:dyDescent="0.6">
      <c r="A75" s="330"/>
      <c r="B75" s="374" t="s">
        <v>99</v>
      </c>
      <c r="C75" s="330"/>
      <c r="D75" s="330"/>
      <c r="E75" s="330"/>
      <c r="F75" s="330"/>
      <c r="G75" s="330"/>
      <c r="H75" s="330"/>
      <c r="I75" s="330"/>
      <c r="J75" s="330"/>
      <c r="K75" s="330"/>
      <c r="L75" s="330"/>
      <c r="M75" s="124"/>
      <c r="N75" s="124"/>
      <c r="O75" s="124"/>
      <c r="P75" s="124"/>
      <c r="Q75" s="124"/>
      <c r="R75" s="124"/>
      <c r="S75" s="124"/>
      <c r="T75" s="124"/>
    </row>
    <row r="76" spans="1:20" ht="18" x14ac:dyDescent="0.6">
      <c r="A76" s="330"/>
      <c r="B76" s="378"/>
      <c r="C76" s="409">
        <v>2016</v>
      </c>
      <c r="D76" s="409"/>
      <c r="E76" s="409"/>
      <c r="F76" s="410">
        <v>2025</v>
      </c>
      <c r="G76" s="410"/>
      <c r="H76" s="410"/>
      <c r="I76" s="411">
        <v>2030</v>
      </c>
      <c r="J76" s="411"/>
      <c r="K76" s="411"/>
      <c r="L76" s="330"/>
      <c r="M76" s="124"/>
      <c r="N76" s="124"/>
      <c r="O76" s="124"/>
      <c r="P76" s="124"/>
      <c r="Q76" s="124"/>
      <c r="R76" s="124"/>
      <c r="S76" s="124"/>
      <c r="T76" s="124"/>
    </row>
    <row r="77" spans="1:20" ht="14.7" thickBot="1" x14ac:dyDescent="0.55000000000000004">
      <c r="A77" s="375" t="s">
        <v>88</v>
      </c>
      <c r="B77" s="391" t="s">
        <v>89</v>
      </c>
      <c r="C77" s="327" t="s">
        <v>56</v>
      </c>
      <c r="D77" s="327" t="s">
        <v>57</v>
      </c>
      <c r="E77" s="327" t="s">
        <v>58</v>
      </c>
      <c r="F77" s="328" t="s">
        <v>56</v>
      </c>
      <c r="G77" s="328" t="s">
        <v>57</v>
      </c>
      <c r="H77" s="328" t="s">
        <v>58</v>
      </c>
      <c r="I77" s="329" t="s">
        <v>56</v>
      </c>
      <c r="J77" s="329" t="s">
        <v>57</v>
      </c>
      <c r="K77" s="329" t="s">
        <v>58</v>
      </c>
      <c r="L77" s="376" t="s">
        <v>59</v>
      </c>
      <c r="M77" s="124"/>
      <c r="N77" s="124"/>
      <c r="O77" s="124"/>
      <c r="P77" s="124"/>
      <c r="Q77" s="124"/>
      <c r="R77" s="124"/>
      <c r="S77" s="124"/>
      <c r="T77" s="124"/>
    </row>
    <row r="78" spans="1:20" x14ac:dyDescent="0.5">
      <c r="A78" s="330"/>
      <c r="B78" s="301" t="s">
        <v>100</v>
      </c>
      <c r="C78" s="314" t="str">
        <f>IF(OR($B$4="Li-Ion (NCA)",$B$4="Li-Ion (LFP)",$B$4="Li-Ion (NMC)",$B$4="Li-Ion (Titanate)",$B$4="ZnBr (Zinc ion)",$B$4="SIB (Layered oxide)",$B$4="SIB (PBA)"),"Ion-Battery",IF(OR($B$4="Pumped Hydro",$B$4="CAES"),"Mechanical",IF(OR($B$4="Vanadium Flow",$B$4="ZnBr Flow"),"Flow Battery","other")))</f>
        <v>Ion-Battery</v>
      </c>
      <c r="D78" s="314" t="str">
        <f t="shared" ref="D78:K78" si="43">IF(OR($B$4="Li-Ion (NCA)",$B$4="Li-Ion (LFP)",$B$4="Li-Ion (NMC)",$B$4="Li-Ion (Titanate)",$B$4="ZnBr (Zinc ion)",$B$4="SIB (Layered oxide)",$B$4="SIB (PBA)"),"Ion-Battery",IF(OR($B$4="Pumped Hydro",$B$4="CAES"),"Mechanical",IF(OR($B$4="Vanadium Flow",$B$4="ZnBr Flow"),"Flow Battery","other")))</f>
        <v>Ion-Battery</v>
      </c>
      <c r="E78" s="314" t="str">
        <f t="shared" si="43"/>
        <v>Ion-Battery</v>
      </c>
      <c r="F78" s="315" t="str">
        <f t="shared" si="43"/>
        <v>Ion-Battery</v>
      </c>
      <c r="G78" s="315" t="str">
        <f t="shared" si="43"/>
        <v>Ion-Battery</v>
      </c>
      <c r="H78" s="315" t="str">
        <f t="shared" si="43"/>
        <v>Ion-Battery</v>
      </c>
      <c r="I78" s="316" t="str">
        <f t="shared" si="43"/>
        <v>Ion-Battery</v>
      </c>
      <c r="J78" s="316" t="str">
        <f t="shared" si="43"/>
        <v>Ion-Battery</v>
      </c>
      <c r="K78" s="316" t="str">
        <f t="shared" si="43"/>
        <v>Ion-Battery</v>
      </c>
      <c r="L78" s="330" t="s">
        <v>84</v>
      </c>
      <c r="M78" s="124"/>
      <c r="N78" s="124"/>
      <c r="O78" s="124"/>
      <c r="P78" s="124"/>
      <c r="Q78" s="124"/>
      <c r="R78" s="124"/>
      <c r="S78" s="124"/>
      <c r="T78" s="124"/>
    </row>
    <row r="79" spans="1:20" x14ac:dyDescent="0.5">
      <c r="A79" s="375"/>
      <c r="B79" s="381" t="s">
        <v>101</v>
      </c>
      <c r="C79" s="401">
        <f>IF(C78="Ion-Battery",2,IF(C78="Mechanical",4,1))</f>
        <v>2</v>
      </c>
      <c r="D79" s="401">
        <f t="shared" ref="D79:K79" si="44">IF(D78="Ion-Battery",2,IF(D78="Mechanical",4,1))</f>
        <v>2</v>
      </c>
      <c r="E79" s="401">
        <f t="shared" si="44"/>
        <v>2</v>
      </c>
      <c r="F79" s="402">
        <f t="shared" si="44"/>
        <v>2</v>
      </c>
      <c r="G79" s="402">
        <f t="shared" si="44"/>
        <v>2</v>
      </c>
      <c r="H79" s="402">
        <f t="shared" si="44"/>
        <v>2</v>
      </c>
      <c r="I79" s="403">
        <f t="shared" si="44"/>
        <v>2</v>
      </c>
      <c r="J79" s="403">
        <f t="shared" si="44"/>
        <v>2</v>
      </c>
      <c r="K79" s="403">
        <f t="shared" si="44"/>
        <v>2</v>
      </c>
      <c r="L79" s="330" t="s">
        <v>102</v>
      </c>
      <c r="M79" s="124"/>
      <c r="N79" s="124"/>
      <c r="O79" s="124"/>
      <c r="P79" s="124"/>
      <c r="Q79" s="124"/>
      <c r="R79" s="124"/>
      <c r="S79" s="124"/>
      <c r="T79" s="124"/>
    </row>
    <row r="80" spans="1:20" x14ac:dyDescent="0.5">
      <c r="A80" s="375"/>
      <c r="B80" s="381" t="s">
        <v>103</v>
      </c>
      <c r="C80" s="401"/>
      <c r="D80" s="401"/>
      <c r="E80" s="401"/>
      <c r="F80" s="402"/>
      <c r="G80" s="402"/>
      <c r="H80" s="402"/>
      <c r="I80" s="403"/>
      <c r="J80" s="403"/>
      <c r="K80" s="403"/>
      <c r="L80" s="330" t="s">
        <v>102</v>
      </c>
      <c r="M80" s="124"/>
      <c r="N80" s="124"/>
      <c r="O80" s="124"/>
      <c r="P80" s="124"/>
      <c r="Q80" s="124"/>
      <c r="R80" s="124"/>
      <c r="S80" s="124"/>
      <c r="T80" s="124"/>
    </row>
    <row r="81" spans="1:20" x14ac:dyDescent="0.5">
      <c r="A81" s="375"/>
      <c r="B81" s="301" t="s">
        <v>104</v>
      </c>
      <c r="C81" s="404">
        <f ca="1">IF(ISBLANK(C80),C7*((C58/100)^-C79)*C58/100,C7*((C58/100)^-C80)*C58/100)</f>
        <v>14285.714285714288</v>
      </c>
      <c r="D81" s="404">
        <f t="shared" ref="D81:K81" ca="1" si="45">IF(ISBLANK(D80),D7*((D58/100)^-D79)*D58/100,D7*((D58/100)^-D80)*D58/100)</f>
        <v>1428.5714285714289</v>
      </c>
      <c r="E81" s="404">
        <f t="shared" ca="1" si="45"/>
        <v>3571.428571428572</v>
      </c>
      <c r="F81" s="405">
        <f t="shared" ca="1" si="45"/>
        <v>28571.428571428576</v>
      </c>
      <c r="G81" s="405">
        <f t="shared" ca="1" si="45"/>
        <v>2857.1428571428578</v>
      </c>
      <c r="H81" s="405">
        <f t="shared" ca="1" si="45"/>
        <v>7142.857142857144</v>
      </c>
      <c r="I81" s="406">
        <f t="shared" ca="1" si="45"/>
        <v>42857.142857142862</v>
      </c>
      <c r="J81" s="406">
        <f t="shared" ca="1" si="45"/>
        <v>4285.7142857142862</v>
      </c>
      <c r="K81" s="406">
        <f t="shared" ca="1" si="45"/>
        <v>10714.285714285716</v>
      </c>
      <c r="L81" s="379" t="s">
        <v>105</v>
      </c>
      <c r="M81" s="124"/>
      <c r="N81" s="124"/>
      <c r="O81" s="124"/>
      <c r="P81" s="124"/>
      <c r="Q81" s="124"/>
      <c r="R81" s="124"/>
      <c r="S81" s="124"/>
      <c r="T81" s="124"/>
    </row>
    <row r="82" spans="1:20" x14ac:dyDescent="0.5">
      <c r="B82" s="13"/>
      <c r="C82" s="407"/>
      <c r="D82" s="407"/>
      <c r="E82" s="407"/>
      <c r="F82" s="407"/>
      <c r="G82" s="407"/>
      <c r="H82" s="407"/>
      <c r="I82" s="408"/>
      <c r="J82" s="408"/>
      <c r="K82" s="408"/>
      <c r="L82" s="124"/>
      <c r="M82" s="124"/>
      <c r="N82" s="124"/>
      <c r="O82" s="124"/>
      <c r="P82" s="124"/>
      <c r="Q82" s="124"/>
      <c r="R82" s="124"/>
      <c r="S82" s="124"/>
      <c r="T82" s="124"/>
    </row>
    <row r="83" spans="1:20" x14ac:dyDescent="0.5">
      <c r="B83" s="13"/>
      <c r="C83" s="13"/>
      <c r="D83" s="13"/>
      <c r="E83" s="13"/>
      <c r="F83" s="13"/>
      <c r="G83" s="13"/>
      <c r="H83" s="13"/>
      <c r="I83" s="13"/>
      <c r="J83" s="13"/>
      <c r="K83" s="13"/>
      <c r="L83" s="124"/>
      <c r="M83" s="124"/>
      <c r="N83" s="124"/>
      <c r="O83" s="124"/>
      <c r="P83" s="124"/>
      <c r="Q83" s="124"/>
      <c r="R83" s="124"/>
      <c r="S83" s="124"/>
      <c r="T83" s="124"/>
    </row>
    <row r="84" spans="1:20" ht="18" x14ac:dyDescent="0.6">
      <c r="A84" s="330"/>
      <c r="B84" s="374" t="s">
        <v>106</v>
      </c>
      <c r="C84" s="330"/>
      <c r="D84" s="330"/>
      <c r="E84" s="330"/>
      <c r="F84" s="330"/>
      <c r="G84" s="330"/>
      <c r="H84" s="330"/>
      <c r="I84" s="330"/>
      <c r="J84" s="330"/>
      <c r="K84" s="330"/>
      <c r="L84" s="330"/>
      <c r="M84" s="124"/>
      <c r="N84" s="124"/>
      <c r="O84" s="124"/>
      <c r="P84" s="124"/>
      <c r="Q84" s="124"/>
      <c r="R84" s="124"/>
      <c r="S84" s="124"/>
      <c r="T84" s="124"/>
    </row>
    <row r="85" spans="1:20" ht="18" x14ac:dyDescent="0.6">
      <c r="A85" s="330"/>
      <c r="B85" s="378"/>
      <c r="C85" s="409">
        <v>2016</v>
      </c>
      <c r="D85" s="409"/>
      <c r="E85" s="409"/>
      <c r="F85" s="410">
        <v>2025</v>
      </c>
      <c r="G85" s="410"/>
      <c r="H85" s="410"/>
      <c r="I85" s="411">
        <v>2030</v>
      </c>
      <c r="J85" s="411"/>
      <c r="K85" s="411"/>
      <c r="L85" s="330"/>
      <c r="M85" s="124"/>
      <c r="N85" s="124"/>
      <c r="O85" s="124"/>
      <c r="P85" s="124"/>
      <c r="Q85" s="124"/>
      <c r="R85" s="124"/>
      <c r="S85" s="124"/>
      <c r="T85" s="124"/>
    </row>
    <row r="86" spans="1:20" ht="14.7" thickBot="1" x14ac:dyDescent="0.55000000000000004">
      <c r="A86" s="330"/>
      <c r="B86" s="382"/>
      <c r="C86" s="327" t="s">
        <v>56</v>
      </c>
      <c r="D86" s="327" t="s">
        <v>57</v>
      </c>
      <c r="E86" s="327" t="s">
        <v>58</v>
      </c>
      <c r="F86" s="328" t="s">
        <v>56</v>
      </c>
      <c r="G86" s="328" t="s">
        <v>57</v>
      </c>
      <c r="H86" s="328" t="s">
        <v>58</v>
      </c>
      <c r="I86" s="329" t="s">
        <v>56</v>
      </c>
      <c r="J86" s="329" t="s">
        <v>57</v>
      </c>
      <c r="K86" s="329" t="s">
        <v>58</v>
      </c>
      <c r="L86" s="376" t="s">
        <v>59</v>
      </c>
      <c r="M86" s="124"/>
      <c r="N86" s="124"/>
      <c r="O86" s="124"/>
      <c r="P86" s="124"/>
      <c r="Q86" s="124"/>
      <c r="R86" s="124"/>
      <c r="S86" s="124"/>
      <c r="T86" s="124"/>
    </row>
    <row r="87" spans="1:20" x14ac:dyDescent="0.5">
      <c r="A87" s="330"/>
      <c r="B87" s="381" t="s">
        <v>48</v>
      </c>
      <c r="C87" s="383"/>
      <c r="D87" s="384"/>
      <c r="E87" s="384"/>
      <c r="F87" s="385"/>
      <c r="G87" s="386"/>
      <c r="H87" s="386"/>
      <c r="I87" s="387"/>
      <c r="J87" s="387"/>
      <c r="K87" s="387"/>
      <c r="L87" s="301"/>
      <c r="M87" s="124"/>
      <c r="N87" s="124"/>
      <c r="O87" s="124"/>
      <c r="P87" s="124"/>
      <c r="Q87" s="124"/>
      <c r="R87" s="124"/>
      <c r="S87" s="124"/>
      <c r="T87" s="124"/>
    </row>
    <row r="88" spans="1:20" x14ac:dyDescent="0.5">
      <c r="A88" s="330"/>
      <c r="B88" s="388" t="s">
        <v>107</v>
      </c>
      <c r="C88" s="314">
        <f>C47</f>
        <v>1060000</v>
      </c>
      <c r="D88" s="314">
        <f t="shared" ref="D88:E88" si="46">D47</f>
        <v>1060000</v>
      </c>
      <c r="E88" s="314">
        <f t="shared" si="46"/>
        <v>1060000</v>
      </c>
      <c r="F88" s="315">
        <f>F47</f>
        <v>1060000</v>
      </c>
      <c r="G88" s="315">
        <f t="shared" ref="G88:H88" si="47">G47</f>
        <v>1060000</v>
      </c>
      <c r="H88" s="315">
        <f t="shared" si="47"/>
        <v>1060000</v>
      </c>
      <c r="I88" s="316">
        <f>I47</f>
        <v>1060000</v>
      </c>
      <c r="J88" s="316">
        <f t="shared" ref="J88:K88" si="48">J47</f>
        <v>1060000</v>
      </c>
      <c r="K88" s="316">
        <f t="shared" si="48"/>
        <v>1060000</v>
      </c>
      <c r="L88" s="330" t="s">
        <v>70</v>
      </c>
      <c r="M88" s="124"/>
      <c r="N88" s="124"/>
      <c r="O88" s="124"/>
      <c r="P88" s="124"/>
      <c r="Q88" s="124"/>
      <c r="R88" s="124"/>
      <c r="S88" s="124"/>
      <c r="T88" s="124"/>
    </row>
    <row r="89" spans="1:20" x14ac:dyDescent="0.5">
      <c r="A89" s="330"/>
      <c r="B89" s="388" t="s">
        <v>108</v>
      </c>
      <c r="C89" s="314">
        <f>C88-MOD(C88,C55)</f>
        <v>1058400</v>
      </c>
      <c r="D89" s="314">
        <f t="shared" ref="D89:K89" si="49">D88-MOD(D88,D55)</f>
        <v>1058400</v>
      </c>
      <c r="E89" s="314">
        <f t="shared" si="49"/>
        <v>1058400</v>
      </c>
      <c r="F89" s="315">
        <f t="shared" si="49"/>
        <v>1058400</v>
      </c>
      <c r="G89" s="315">
        <f t="shared" si="49"/>
        <v>1058400</v>
      </c>
      <c r="H89" s="315">
        <f t="shared" si="49"/>
        <v>1058400</v>
      </c>
      <c r="I89" s="316">
        <f t="shared" si="49"/>
        <v>1058400</v>
      </c>
      <c r="J89" s="316">
        <f t="shared" si="49"/>
        <v>1058400</v>
      </c>
      <c r="K89" s="316">
        <f t="shared" si="49"/>
        <v>1058400</v>
      </c>
      <c r="L89" s="330" t="s">
        <v>70</v>
      </c>
      <c r="M89" s="124"/>
      <c r="N89" s="124"/>
      <c r="O89" s="124"/>
      <c r="P89" s="124"/>
      <c r="Q89" s="124"/>
      <c r="R89" s="124"/>
      <c r="S89" s="124"/>
      <c r="T89" s="124"/>
    </row>
    <row r="90" spans="1:20" x14ac:dyDescent="0.5">
      <c r="A90" s="330"/>
      <c r="B90" s="388" t="s">
        <v>109</v>
      </c>
      <c r="C90" s="314">
        <f>C48</f>
        <v>8500000</v>
      </c>
      <c r="D90" s="314">
        <f t="shared" ref="D90:E90" si="50">D48</f>
        <v>8500000</v>
      </c>
      <c r="E90" s="314">
        <f t="shared" si="50"/>
        <v>8500000</v>
      </c>
      <c r="F90" s="315">
        <f>F48</f>
        <v>8500000</v>
      </c>
      <c r="G90" s="315">
        <f t="shared" ref="G90:H90" si="51">G48</f>
        <v>8500000</v>
      </c>
      <c r="H90" s="315">
        <f t="shared" si="51"/>
        <v>8500000</v>
      </c>
      <c r="I90" s="316">
        <f>I48</f>
        <v>8500000</v>
      </c>
      <c r="J90" s="316">
        <f t="shared" ref="J90:K90" si="52">J48</f>
        <v>8500000</v>
      </c>
      <c r="K90" s="316">
        <f t="shared" si="52"/>
        <v>8500000</v>
      </c>
      <c r="L90" s="330" t="s">
        <v>72</v>
      </c>
      <c r="M90" s="124"/>
      <c r="N90" s="124"/>
      <c r="O90" s="124"/>
      <c r="P90" s="124"/>
      <c r="Q90" s="124"/>
      <c r="R90" s="124"/>
      <c r="S90" s="124"/>
      <c r="T90" s="124"/>
    </row>
    <row r="91" spans="1:20" x14ac:dyDescent="0.5">
      <c r="A91" s="330"/>
      <c r="B91" s="388" t="s">
        <v>110</v>
      </c>
      <c r="C91" s="314">
        <f ca="1">C90*C9/100</f>
        <v>8500000</v>
      </c>
      <c r="D91" s="314">
        <f ca="1">D90*D9/100</f>
        <v>7140000</v>
      </c>
      <c r="E91" s="314">
        <f ca="1">E90*E9/100</f>
        <v>7650000</v>
      </c>
      <c r="F91" s="315">
        <f ca="1">F90*F9/100</f>
        <v>8500000</v>
      </c>
      <c r="G91" s="315">
        <f t="shared" ref="G91:H91" ca="1" si="53">G90*G9/100</f>
        <v>7140000</v>
      </c>
      <c r="H91" s="315">
        <f t="shared" ca="1" si="53"/>
        <v>7650000</v>
      </c>
      <c r="I91" s="316">
        <f ca="1">I90*I9/100</f>
        <v>8500000</v>
      </c>
      <c r="J91" s="316">
        <f t="shared" ref="J91" ca="1" si="54">J90*J9/100</f>
        <v>7140000</v>
      </c>
      <c r="K91" s="316">
        <f ca="1">K90*K9/100</f>
        <v>7650000</v>
      </c>
      <c r="L91" s="330" t="s">
        <v>72</v>
      </c>
      <c r="M91" s="124"/>
      <c r="N91" s="124"/>
      <c r="O91" s="124"/>
      <c r="P91" s="124"/>
      <c r="Q91" s="124"/>
      <c r="R91" s="124"/>
      <c r="S91" s="124"/>
      <c r="T91" s="124"/>
    </row>
    <row r="92" spans="1:20" x14ac:dyDescent="0.5">
      <c r="A92" s="330"/>
      <c r="B92" s="388" t="s">
        <v>111</v>
      </c>
      <c r="C92" s="314">
        <f ca="1">IF(C49&lt;1,C91-MOD(C91,C56),C91)</f>
        <v>8500000</v>
      </c>
      <c r="D92" s="314">
        <f t="shared" ref="D92:K92" ca="1" si="55">IF(D49&lt;1,D91-MOD(D91,D56),D91)</f>
        <v>7140000</v>
      </c>
      <c r="E92" s="314">
        <f t="shared" ca="1" si="55"/>
        <v>7650000</v>
      </c>
      <c r="F92" s="315">
        <f t="shared" ca="1" si="55"/>
        <v>8500000</v>
      </c>
      <c r="G92" s="315">
        <f t="shared" ca="1" si="55"/>
        <v>7140000</v>
      </c>
      <c r="H92" s="315">
        <f t="shared" ca="1" si="55"/>
        <v>7650000</v>
      </c>
      <c r="I92" s="316">
        <f t="shared" ca="1" si="55"/>
        <v>8500000</v>
      </c>
      <c r="J92" s="316">
        <f t="shared" ca="1" si="55"/>
        <v>7140000</v>
      </c>
      <c r="K92" s="316">
        <f t="shared" ca="1" si="55"/>
        <v>7650000</v>
      </c>
      <c r="L92" s="330" t="s">
        <v>72</v>
      </c>
      <c r="M92" s="124"/>
      <c r="N92" s="124"/>
      <c r="O92" s="124"/>
      <c r="P92" s="124"/>
      <c r="Q92" s="124"/>
      <c r="R92" s="124"/>
      <c r="S92" s="124"/>
      <c r="T92" s="124"/>
    </row>
    <row r="93" spans="1:20" x14ac:dyDescent="0.5">
      <c r="A93" s="330"/>
      <c r="B93" s="388" t="s">
        <v>112</v>
      </c>
      <c r="C93" s="314">
        <f ca="1">MIN(C8,(C81/(C59*365)))</f>
        <v>19.569471624266146</v>
      </c>
      <c r="D93" s="314">
        <f t="shared" ref="D93:K93" ca="1" si="56">MIN(D8,(D81/(D59*365)))</f>
        <v>1.9569471624266148</v>
      </c>
      <c r="E93" s="314">
        <f t="shared" ca="1" si="56"/>
        <v>4.8923679060665366</v>
      </c>
      <c r="F93" s="315">
        <f t="shared" ca="1" si="56"/>
        <v>28.333333333333332</v>
      </c>
      <c r="G93" s="315">
        <f t="shared" ca="1" si="56"/>
        <v>3.9138943248532296</v>
      </c>
      <c r="H93" s="315">
        <f t="shared" ca="1" si="56"/>
        <v>9.7847358121330732</v>
      </c>
      <c r="I93" s="316">
        <f t="shared" ca="1" si="56"/>
        <v>33.333333333333329</v>
      </c>
      <c r="J93" s="316">
        <f t="shared" ca="1" si="56"/>
        <v>5.8708414872798445</v>
      </c>
      <c r="K93" s="316">
        <f t="shared" ca="1" si="56"/>
        <v>14.677103718199611</v>
      </c>
      <c r="L93" s="330" t="s">
        <v>64</v>
      </c>
      <c r="M93" s="124"/>
      <c r="N93" s="124"/>
      <c r="O93" s="124"/>
      <c r="P93" s="124"/>
      <c r="Q93" s="124"/>
      <c r="R93" s="124"/>
      <c r="S93" s="124"/>
      <c r="T93" s="124"/>
    </row>
    <row r="94" spans="1:20" x14ac:dyDescent="0.5">
      <c r="A94" s="330"/>
      <c r="B94" s="388" t="s">
        <v>113</v>
      </c>
      <c r="C94" s="314">
        <f ca="1">C91*C14+IF(AND(C15=C32,ISNUMBER(SEARCH("Generator", $B$21))),0,C88*C15)+C71</f>
        <v>1695750000</v>
      </c>
      <c r="D94" s="314">
        <f ca="1">D91*D14+IF(AND(D15=D32,ISNUMBER(SEARCH("Generator", $B$21))),0,D88*D15)+D71</f>
        <v>5997600000</v>
      </c>
      <c r="E94" s="314">
        <f t="shared" ref="E94:K94" ca="1" si="57">E91*E14+IF(AND(E15=E32,ISNUMBER(SEARCH("Generator", $B$21))),0,E88*E15)+E71</f>
        <v>4417875000</v>
      </c>
      <c r="F94" s="315">
        <f t="shared" ca="1" si="57"/>
        <v>572590909.090909</v>
      </c>
      <c r="G94" s="315">
        <f t="shared" ca="1" si="57"/>
        <v>2025163636.3636363</v>
      </c>
      <c r="H94" s="315">
        <f t="shared" ca="1" si="57"/>
        <v>1491750000</v>
      </c>
      <c r="I94" s="316">
        <f t="shared" ca="1" si="57"/>
        <v>314190909.09090906</v>
      </c>
      <c r="J94" s="316">
        <f t="shared" ca="1" si="57"/>
        <v>1111243636.3636363</v>
      </c>
      <c r="K94" s="316">
        <f t="shared" ca="1" si="57"/>
        <v>818550000</v>
      </c>
      <c r="L94" s="330" t="s">
        <v>96</v>
      </c>
      <c r="M94" s="124"/>
      <c r="N94" s="124"/>
      <c r="O94" s="124"/>
      <c r="P94" s="124"/>
      <c r="Q94" s="124"/>
      <c r="R94" s="124"/>
      <c r="S94" s="124"/>
      <c r="T94" s="124"/>
    </row>
    <row r="95" spans="1:20" x14ac:dyDescent="0.5">
      <c r="A95" s="330"/>
      <c r="B95" s="388" t="s">
        <v>114</v>
      </c>
      <c r="C95" s="314">
        <f ca="1">-PMT(C70,C93,C94,0,1)+C72</f>
        <v>112447731.59028827</v>
      </c>
      <c r="D95" s="314">
        <f ca="1">-PMT(D70,D93,D94,0,1)+D72</f>
        <v>3108106805.3239732</v>
      </c>
      <c r="E95" s="314">
        <f t="shared" ref="E95:K95" ca="1" si="58">-PMT(E70,E93,E94,0,1)+E72</f>
        <v>955686305.39606631</v>
      </c>
      <c r="F95" s="315">
        <f t="shared" ca="1" si="58"/>
        <v>29402596.227462839</v>
      </c>
      <c r="G95" s="315">
        <f t="shared" ca="1" si="58"/>
        <v>539918024.10933268</v>
      </c>
      <c r="H95" s="315">
        <f t="shared" ca="1" si="58"/>
        <v>172995936.6389198</v>
      </c>
      <c r="I95" s="316">
        <f t="shared" ca="1" si="58"/>
        <v>14602879.906182555</v>
      </c>
      <c r="J95" s="316">
        <f t="shared" ca="1" si="58"/>
        <v>203162703.97116053</v>
      </c>
      <c r="K95" s="316">
        <f t="shared" ca="1" si="58"/>
        <v>67734222.135175973</v>
      </c>
      <c r="L95" s="330" t="s">
        <v>96</v>
      </c>
      <c r="M95" s="124"/>
      <c r="N95" s="124"/>
      <c r="O95" s="124"/>
      <c r="P95" s="124"/>
      <c r="Q95" s="124"/>
      <c r="R95" s="124"/>
      <c r="S95" s="124"/>
      <c r="T95" s="124"/>
    </row>
    <row r="96" spans="1:20" x14ac:dyDescent="0.5">
      <c r="A96" s="330"/>
      <c r="B96" s="388"/>
      <c r="C96" s="314"/>
      <c r="D96" s="314"/>
      <c r="E96" s="314"/>
      <c r="F96" s="315"/>
      <c r="G96" s="315"/>
      <c r="H96" s="315"/>
      <c r="I96" s="316"/>
      <c r="J96" s="316"/>
      <c r="K96" s="316"/>
      <c r="L96" s="13"/>
      <c r="M96" s="124"/>
      <c r="N96" s="124"/>
      <c r="O96" s="124"/>
      <c r="P96" s="124"/>
      <c r="Q96" s="124"/>
      <c r="R96" s="124"/>
      <c r="S96" s="124"/>
      <c r="T96" s="124"/>
    </row>
    <row r="97" spans="1:20" x14ac:dyDescent="0.5">
      <c r="A97" s="330"/>
      <c r="B97" s="381" t="s">
        <v>52</v>
      </c>
      <c r="C97" s="314"/>
      <c r="D97" s="314"/>
      <c r="E97" s="314"/>
      <c r="F97" s="315"/>
      <c r="G97" s="315"/>
      <c r="H97" s="315"/>
      <c r="I97" s="316"/>
      <c r="J97" s="316"/>
      <c r="K97" s="316"/>
      <c r="L97" s="13"/>
      <c r="M97" s="124"/>
      <c r="N97" s="124"/>
      <c r="O97" s="124"/>
      <c r="P97" s="124"/>
      <c r="Q97" s="124"/>
      <c r="R97" s="124"/>
      <c r="S97" s="124"/>
      <c r="T97" s="124"/>
    </row>
    <row r="98" spans="1:20" x14ac:dyDescent="0.5">
      <c r="A98" s="330"/>
      <c r="B98" s="388" t="s">
        <v>115</v>
      </c>
      <c r="C98" s="314">
        <f t="shared" ref="C98:K98" si="59">C47</f>
        <v>1060000</v>
      </c>
      <c r="D98" s="314">
        <f t="shared" si="59"/>
        <v>1060000</v>
      </c>
      <c r="E98" s="314">
        <f t="shared" si="59"/>
        <v>1060000</v>
      </c>
      <c r="F98" s="315">
        <f t="shared" si="59"/>
        <v>1060000</v>
      </c>
      <c r="G98" s="315">
        <f t="shared" si="59"/>
        <v>1060000</v>
      </c>
      <c r="H98" s="315">
        <f t="shared" si="59"/>
        <v>1060000</v>
      </c>
      <c r="I98" s="316">
        <f t="shared" si="59"/>
        <v>1060000</v>
      </c>
      <c r="J98" s="316">
        <f t="shared" si="59"/>
        <v>1060000</v>
      </c>
      <c r="K98" s="316">
        <f t="shared" si="59"/>
        <v>1060000</v>
      </c>
      <c r="L98" s="13" t="s">
        <v>70</v>
      </c>
      <c r="M98" s="124"/>
      <c r="N98" s="124"/>
      <c r="O98" s="124"/>
      <c r="P98" s="124"/>
      <c r="Q98" s="124"/>
      <c r="R98" s="124"/>
      <c r="S98" s="124"/>
      <c r="T98" s="124"/>
    </row>
    <row r="99" spans="1:20" x14ac:dyDescent="0.5">
      <c r="A99" s="330"/>
      <c r="B99" s="388" t="s">
        <v>116</v>
      </c>
      <c r="C99" s="314">
        <f ca="1">C98*C32</f>
        <v>111300000</v>
      </c>
      <c r="D99" s="314">
        <f t="shared" ref="D99:K99" ca="1" si="60">D98*D32</f>
        <v>307400000</v>
      </c>
      <c r="E99" s="314">
        <f t="shared" ca="1" si="60"/>
        <v>164724000</v>
      </c>
      <c r="F99" s="315">
        <f t="shared" ca="1" si="60"/>
        <v>50135135.135135137</v>
      </c>
      <c r="G99" s="315">
        <f t="shared" ca="1" si="60"/>
        <v>138468468.46846846</v>
      </c>
      <c r="H99" s="315">
        <f t="shared" ca="1" si="60"/>
        <v>74200000</v>
      </c>
      <c r="I99" s="316">
        <f t="shared" ca="1" si="60"/>
        <v>42972972.972972974</v>
      </c>
      <c r="J99" s="316">
        <f t="shared" ca="1" si="60"/>
        <v>118687258.68725869</v>
      </c>
      <c r="K99" s="316">
        <f t="shared" ca="1" si="60"/>
        <v>63600000</v>
      </c>
      <c r="L99" s="13" t="s">
        <v>96</v>
      </c>
      <c r="M99" s="124"/>
      <c r="N99" s="124"/>
      <c r="O99" s="124"/>
      <c r="P99" s="124"/>
      <c r="Q99" s="124"/>
      <c r="R99" s="124"/>
      <c r="S99" s="124"/>
      <c r="T99" s="124"/>
    </row>
    <row r="100" spans="1:20" x14ac:dyDescent="0.5">
      <c r="A100" s="330"/>
      <c r="B100" s="388" t="s">
        <v>117</v>
      </c>
      <c r="C100" s="314">
        <f ca="1">IF(C99=0,0,-PMT(C70,C25,C99,0,1))</f>
        <v>6205555.3851018669</v>
      </c>
      <c r="D100" s="314">
        <f t="shared" ref="D100:K100" ca="1" si="61">IF(D99=0,0,-PMT(D70,D25,D99,0,1))</f>
        <v>34987046.340219475</v>
      </c>
      <c r="E100" s="314">
        <f t="shared" ca="1" si="61"/>
        <v>16066520.939270252</v>
      </c>
      <c r="F100" s="315">
        <f t="shared" ca="1" si="61"/>
        <v>1801949.6266989007</v>
      </c>
      <c r="G100" s="315">
        <f t="shared" ca="1" si="61"/>
        <v>8302512.8787818607</v>
      </c>
      <c r="H100" s="315">
        <f t="shared" ca="1" si="61"/>
        <v>3930742.1418335391</v>
      </c>
      <c r="I100" s="316">
        <f t="shared" ca="1" si="61"/>
        <v>1485877.5119578494</v>
      </c>
      <c r="J100" s="316">
        <f t="shared" ca="1" si="61"/>
        <v>6617433.5785237784</v>
      </c>
      <c r="K100" s="316">
        <f t="shared" ca="1" si="61"/>
        <v>3150315.4298719061</v>
      </c>
      <c r="L100" s="13" t="s">
        <v>96</v>
      </c>
      <c r="M100" s="124"/>
      <c r="N100" s="124"/>
      <c r="O100" s="124"/>
      <c r="P100" s="124"/>
      <c r="Q100" s="124"/>
      <c r="R100" s="124"/>
      <c r="S100" s="124"/>
      <c r="T100" s="124"/>
    </row>
    <row r="101" spans="1:20" x14ac:dyDescent="0.5">
      <c r="A101" s="330"/>
      <c r="B101" s="331"/>
      <c r="C101" s="314"/>
      <c r="D101" s="314"/>
      <c r="E101" s="314"/>
      <c r="F101" s="315"/>
      <c r="G101" s="315"/>
      <c r="H101" s="315"/>
      <c r="I101" s="316"/>
      <c r="J101" s="316"/>
      <c r="K101" s="316"/>
      <c r="L101" s="13"/>
      <c r="M101" s="124"/>
      <c r="N101" s="124"/>
      <c r="O101" s="124"/>
      <c r="P101" s="124"/>
      <c r="Q101" s="124"/>
      <c r="R101" s="124"/>
      <c r="S101" s="124"/>
      <c r="T101" s="124"/>
    </row>
    <row r="102" spans="1:20" x14ac:dyDescent="0.5">
      <c r="A102" s="330"/>
      <c r="B102" s="381" t="s">
        <v>54</v>
      </c>
      <c r="C102" s="314"/>
      <c r="D102" s="314"/>
      <c r="E102" s="314"/>
      <c r="F102" s="315"/>
      <c r="G102" s="315"/>
      <c r="H102" s="315"/>
      <c r="I102" s="316"/>
      <c r="J102" s="316"/>
      <c r="K102" s="316"/>
      <c r="L102" s="13"/>
      <c r="M102" s="124"/>
      <c r="N102" s="124"/>
      <c r="O102" s="124"/>
      <c r="P102" s="124"/>
      <c r="Q102" s="124"/>
      <c r="R102" s="124"/>
      <c r="S102" s="124"/>
      <c r="T102" s="124"/>
    </row>
    <row r="103" spans="1:20" x14ac:dyDescent="0.5">
      <c r="A103" s="330"/>
      <c r="B103" s="388" t="s">
        <v>118</v>
      </c>
      <c r="C103" s="314">
        <f t="shared" ref="C103:K103" si="62">C47</f>
        <v>1060000</v>
      </c>
      <c r="D103" s="314">
        <f t="shared" si="62"/>
        <v>1060000</v>
      </c>
      <c r="E103" s="314">
        <f t="shared" si="62"/>
        <v>1060000</v>
      </c>
      <c r="F103" s="315">
        <f t="shared" si="62"/>
        <v>1060000</v>
      </c>
      <c r="G103" s="315">
        <f t="shared" si="62"/>
        <v>1060000</v>
      </c>
      <c r="H103" s="315">
        <f t="shared" si="62"/>
        <v>1060000</v>
      </c>
      <c r="I103" s="316">
        <f t="shared" si="62"/>
        <v>1060000</v>
      </c>
      <c r="J103" s="316">
        <f t="shared" si="62"/>
        <v>1060000</v>
      </c>
      <c r="K103" s="316">
        <f t="shared" si="62"/>
        <v>1060000</v>
      </c>
      <c r="L103" s="13" t="s">
        <v>70</v>
      </c>
      <c r="M103" s="124"/>
      <c r="N103" s="124"/>
      <c r="O103" s="124"/>
      <c r="P103" s="124"/>
      <c r="Q103" s="124"/>
      <c r="R103" s="124"/>
      <c r="S103" s="124"/>
      <c r="T103" s="124"/>
    </row>
    <row r="104" spans="1:20" x14ac:dyDescent="0.5">
      <c r="A104" s="330"/>
      <c r="B104" s="388" t="s">
        <v>119</v>
      </c>
      <c r="C104" s="314">
        <f t="shared" ref="C104:K104" si="63">C103*(C39+C38)</f>
        <v>106000000</v>
      </c>
      <c r="D104" s="314">
        <f t="shared" si="63"/>
        <v>106000000</v>
      </c>
      <c r="E104" s="314">
        <f t="shared" si="63"/>
        <v>106000000</v>
      </c>
      <c r="F104" s="315">
        <f t="shared" si="63"/>
        <v>106000000</v>
      </c>
      <c r="G104" s="315">
        <f t="shared" si="63"/>
        <v>106000000</v>
      </c>
      <c r="H104" s="315">
        <f t="shared" si="63"/>
        <v>106000000</v>
      </c>
      <c r="I104" s="316">
        <f t="shared" si="63"/>
        <v>106000000</v>
      </c>
      <c r="J104" s="316">
        <f t="shared" si="63"/>
        <v>106000000</v>
      </c>
      <c r="K104" s="316">
        <f t="shared" si="63"/>
        <v>106000000</v>
      </c>
      <c r="L104" s="13" t="s">
        <v>96</v>
      </c>
      <c r="M104" s="124"/>
      <c r="N104" s="124"/>
      <c r="O104" s="124"/>
      <c r="P104" s="124"/>
      <c r="Q104" s="124"/>
      <c r="R104" s="124"/>
      <c r="S104" s="124"/>
      <c r="T104" s="124"/>
    </row>
    <row r="105" spans="1:20" x14ac:dyDescent="0.5">
      <c r="A105" s="330"/>
      <c r="B105" s="388" t="s">
        <v>120</v>
      </c>
      <c r="C105" s="314">
        <f t="shared" ref="C105:K105" si="64">IF(C104=0,0,-PMT(C70,C40,C104,0,1))</f>
        <v>3999749.9134151489</v>
      </c>
      <c r="D105" s="314">
        <f t="shared" si="64"/>
        <v>3999749.9134151489</v>
      </c>
      <c r="E105" s="314">
        <f t="shared" si="64"/>
        <v>3999749.9134151489</v>
      </c>
      <c r="F105" s="315">
        <f t="shared" si="64"/>
        <v>3999749.9134151489</v>
      </c>
      <c r="G105" s="315">
        <f t="shared" si="64"/>
        <v>3999749.9134151489</v>
      </c>
      <c r="H105" s="315">
        <f t="shared" si="64"/>
        <v>3999749.9134151489</v>
      </c>
      <c r="I105" s="316">
        <f t="shared" si="64"/>
        <v>3999749.9134151489</v>
      </c>
      <c r="J105" s="316">
        <f t="shared" si="64"/>
        <v>3999749.9134151489</v>
      </c>
      <c r="K105" s="316">
        <f t="shared" si="64"/>
        <v>3999749.9134151489</v>
      </c>
      <c r="L105" s="13" t="s">
        <v>96</v>
      </c>
      <c r="M105" s="124"/>
      <c r="N105" s="124"/>
      <c r="O105" s="124"/>
      <c r="P105" s="124"/>
      <c r="Q105" s="124"/>
      <c r="R105" s="124"/>
      <c r="S105" s="124"/>
      <c r="T105" s="124"/>
    </row>
    <row r="106" spans="1:20" x14ac:dyDescent="0.5">
      <c r="A106" s="330"/>
      <c r="B106" s="331"/>
      <c r="C106" s="314"/>
      <c r="D106" s="314"/>
      <c r="E106" s="314"/>
      <c r="F106" s="315"/>
      <c r="G106" s="315"/>
      <c r="H106" s="315"/>
      <c r="I106" s="316"/>
      <c r="J106" s="316"/>
      <c r="K106" s="316"/>
      <c r="L106" s="13"/>
      <c r="M106" s="124"/>
      <c r="N106" s="124"/>
      <c r="O106" s="124"/>
      <c r="P106" s="124"/>
      <c r="Q106" s="124"/>
      <c r="R106" s="124"/>
      <c r="S106" s="124"/>
      <c r="T106" s="124"/>
    </row>
    <row r="107" spans="1:20" x14ac:dyDescent="0.5">
      <c r="A107" s="330"/>
      <c r="B107" s="301" t="s">
        <v>121</v>
      </c>
      <c r="C107" s="314"/>
      <c r="D107" s="314"/>
      <c r="E107" s="314"/>
      <c r="F107" s="315"/>
      <c r="G107" s="315"/>
      <c r="H107" s="315"/>
      <c r="I107" s="316"/>
      <c r="J107" s="316"/>
      <c r="K107" s="316"/>
      <c r="L107" s="13"/>
      <c r="M107" s="124"/>
      <c r="N107" s="124"/>
      <c r="O107" s="124"/>
      <c r="P107" s="124"/>
      <c r="Q107" s="124"/>
      <c r="R107" s="124"/>
      <c r="S107" s="124"/>
      <c r="T107" s="124"/>
    </row>
    <row r="108" spans="1:20" x14ac:dyDescent="0.5">
      <c r="A108" s="330"/>
      <c r="B108" s="388" t="s">
        <v>122</v>
      </c>
      <c r="C108" s="314">
        <f t="shared" ref="C108:K108" ca="1" si="65">C99+C94+C104</f>
        <v>1913050000</v>
      </c>
      <c r="D108" s="314">
        <f t="shared" ca="1" si="65"/>
        <v>6411000000</v>
      </c>
      <c r="E108" s="314">
        <f t="shared" ca="1" si="65"/>
        <v>4688599000</v>
      </c>
      <c r="F108" s="315">
        <f t="shared" ca="1" si="65"/>
        <v>728726044.22604418</v>
      </c>
      <c r="G108" s="315">
        <f t="shared" ca="1" si="65"/>
        <v>2269632104.8321047</v>
      </c>
      <c r="H108" s="315">
        <f t="shared" ca="1" si="65"/>
        <v>1671950000</v>
      </c>
      <c r="I108" s="316">
        <f t="shared" ca="1" si="65"/>
        <v>463163882.06388205</v>
      </c>
      <c r="J108" s="316">
        <f t="shared" ca="1" si="65"/>
        <v>1335930895.050895</v>
      </c>
      <c r="K108" s="316">
        <f t="shared" ca="1" si="65"/>
        <v>988150000</v>
      </c>
      <c r="L108" s="13" t="s">
        <v>96</v>
      </c>
      <c r="M108" s="124"/>
      <c r="N108" s="124"/>
      <c r="O108" s="124"/>
      <c r="P108" s="124"/>
      <c r="Q108" s="124"/>
      <c r="R108" s="124"/>
      <c r="S108" s="124"/>
      <c r="T108" s="124"/>
    </row>
    <row r="109" spans="1:20" x14ac:dyDescent="0.5">
      <c r="A109" s="330"/>
      <c r="B109" s="388" t="s">
        <v>123</v>
      </c>
      <c r="C109" s="314">
        <f t="shared" ref="C109:K109" ca="1" si="66">C108/C90</f>
        <v>225.06470588235294</v>
      </c>
      <c r="D109" s="314">
        <f t="shared" ca="1" si="66"/>
        <v>754.23529411764707</v>
      </c>
      <c r="E109" s="314">
        <f t="shared" ca="1" si="66"/>
        <v>551.59988235294122</v>
      </c>
      <c r="F109" s="315">
        <f t="shared" ca="1" si="66"/>
        <v>85.732475791299322</v>
      </c>
      <c r="G109" s="315">
        <f t="shared" ca="1" si="66"/>
        <v>267.01554174495351</v>
      </c>
      <c r="H109" s="315">
        <f t="shared" ca="1" si="66"/>
        <v>196.7</v>
      </c>
      <c r="I109" s="316">
        <f t="shared" ca="1" si="66"/>
        <v>54.489868478103773</v>
      </c>
      <c r="J109" s="316">
        <f t="shared" ca="1" si="66"/>
        <v>157.16834059422294</v>
      </c>
      <c r="K109" s="316">
        <f t="shared" ca="1" si="66"/>
        <v>116.25294117647059</v>
      </c>
      <c r="L109" s="13" t="s">
        <v>96</v>
      </c>
      <c r="M109" s="124"/>
      <c r="N109" s="124"/>
      <c r="O109" s="124"/>
      <c r="P109" s="124"/>
      <c r="Q109" s="124"/>
      <c r="R109" s="124"/>
      <c r="S109" s="124"/>
      <c r="T109" s="124"/>
    </row>
    <row r="110" spans="1:20" x14ac:dyDescent="0.5">
      <c r="A110" s="330"/>
      <c r="B110" s="388"/>
      <c r="C110" s="314"/>
      <c r="D110" s="314"/>
      <c r="E110" s="314"/>
      <c r="F110" s="315"/>
      <c r="G110" s="315"/>
      <c r="H110" s="315"/>
      <c r="I110" s="316"/>
      <c r="J110" s="316"/>
      <c r="K110" s="316"/>
      <c r="L110" s="13"/>
      <c r="M110" s="124"/>
      <c r="N110" s="124"/>
      <c r="O110" s="124"/>
      <c r="P110" s="124"/>
      <c r="Q110" s="124"/>
      <c r="R110" s="124"/>
      <c r="S110" s="124"/>
      <c r="T110" s="124"/>
    </row>
    <row r="111" spans="1:20" x14ac:dyDescent="0.5">
      <c r="A111" s="330"/>
      <c r="B111" s="301" t="s">
        <v>124</v>
      </c>
      <c r="C111" s="314"/>
      <c r="D111" s="314"/>
      <c r="E111" s="314"/>
      <c r="F111" s="315"/>
      <c r="G111" s="315"/>
      <c r="H111" s="315"/>
      <c r="I111" s="316"/>
      <c r="J111" s="316"/>
      <c r="K111" s="316"/>
      <c r="L111" s="13"/>
      <c r="M111" s="124"/>
      <c r="N111" s="124"/>
      <c r="O111" s="124"/>
      <c r="P111" s="124"/>
      <c r="Q111" s="124"/>
      <c r="R111" s="124"/>
      <c r="S111" s="124"/>
      <c r="T111" s="124"/>
    </row>
    <row r="112" spans="1:20" x14ac:dyDescent="0.5">
      <c r="A112" s="330"/>
      <c r="B112" s="388" t="s">
        <v>125</v>
      </c>
      <c r="C112" s="314">
        <f t="shared" ref="C112:K112" ca="1" si="67">IF(C60="Power",C89*C59*365,C92*C59*365)</f>
        <v>6205000000</v>
      </c>
      <c r="D112" s="314">
        <f t="shared" ca="1" si="67"/>
        <v>5212200000</v>
      </c>
      <c r="E112" s="314">
        <f t="shared" ca="1" si="67"/>
        <v>5584500000</v>
      </c>
      <c r="F112" s="315">
        <f t="shared" ca="1" si="67"/>
        <v>6205000000</v>
      </c>
      <c r="G112" s="315">
        <f t="shared" ca="1" si="67"/>
        <v>5212200000</v>
      </c>
      <c r="H112" s="315">
        <f t="shared" ca="1" si="67"/>
        <v>5584500000</v>
      </c>
      <c r="I112" s="316">
        <f t="shared" ca="1" si="67"/>
        <v>6205000000</v>
      </c>
      <c r="J112" s="316">
        <f t="shared" ca="1" si="67"/>
        <v>5212200000</v>
      </c>
      <c r="K112" s="316">
        <f t="shared" ca="1" si="67"/>
        <v>5584500000</v>
      </c>
      <c r="L112" s="13" t="s">
        <v>72</v>
      </c>
      <c r="M112" s="124"/>
      <c r="N112" s="124"/>
      <c r="O112" s="124"/>
      <c r="P112" s="124"/>
      <c r="Q112" s="124"/>
      <c r="R112" s="124"/>
      <c r="S112" s="124"/>
      <c r="T112" s="124"/>
    </row>
    <row r="113" spans="1:20" x14ac:dyDescent="0.5">
      <c r="A113" s="330"/>
      <c r="B113" s="388" t="s">
        <v>126</v>
      </c>
      <c r="C113" s="314">
        <f t="shared" ref="C113:K113" ca="1" si="68">C10*C27*C41/10000</f>
        <v>87.3</v>
      </c>
      <c r="D113" s="314">
        <f t="shared" ca="1" si="68"/>
        <v>75.33</v>
      </c>
      <c r="E113" s="314">
        <f t="shared" ca="1" si="68"/>
        <v>81.7</v>
      </c>
      <c r="F113" s="315">
        <f t="shared" ca="1" si="68"/>
        <v>93.390697674418604</v>
      </c>
      <c r="G113" s="315">
        <f t="shared" ca="1" si="68"/>
        <v>80.585581395348839</v>
      </c>
      <c r="H113" s="315">
        <f t="shared" ca="1" si="68"/>
        <v>87.4</v>
      </c>
      <c r="I113" s="316">
        <f ca="1">I10*I27*I41/10000</f>
        <v>95.420930232558149</v>
      </c>
      <c r="J113" s="316">
        <f t="shared" ca="1" si="68"/>
        <v>82.337441860465105</v>
      </c>
      <c r="K113" s="316">
        <f t="shared" ca="1" si="68"/>
        <v>89.3</v>
      </c>
      <c r="L113" s="13" t="s">
        <v>66</v>
      </c>
      <c r="M113" s="124"/>
      <c r="N113" s="124"/>
      <c r="O113" s="124"/>
      <c r="P113" s="124"/>
      <c r="Q113" s="124"/>
      <c r="R113" s="124"/>
      <c r="S113" s="124"/>
      <c r="T113" s="124"/>
    </row>
    <row r="114" spans="1:20" x14ac:dyDescent="0.5">
      <c r="A114" s="330"/>
      <c r="B114" s="388" t="s">
        <v>127</v>
      </c>
      <c r="C114" s="314">
        <f ca="1">(100-C113)*C112/100</f>
        <v>788035000.00000012</v>
      </c>
      <c r="D114" s="314">
        <f t="shared" ref="D114:K114" ca="1" si="69">(100-D113)*D112/100</f>
        <v>1285849740.0000002</v>
      </c>
      <c r="E114" s="314">
        <f t="shared" ca="1" si="69"/>
        <v>1021963499.9999999</v>
      </c>
      <c r="F114" s="315">
        <f t="shared" ca="1" si="69"/>
        <v>410107209.30232561</v>
      </c>
      <c r="G114" s="315">
        <f t="shared" ca="1" si="69"/>
        <v>1011918326.5116278</v>
      </c>
      <c r="H114" s="315">
        <f t="shared" ca="1" si="69"/>
        <v>703646999.99999964</v>
      </c>
      <c r="I114" s="316">
        <f ca="1">(100-I113)*I112/100</f>
        <v>284131279.06976682</v>
      </c>
      <c r="J114" s="316">
        <f t="shared" ca="1" si="69"/>
        <v>920607855.34883773</v>
      </c>
      <c r="K114" s="316">
        <f t="shared" ca="1" si="69"/>
        <v>597541500.00000012</v>
      </c>
      <c r="L114" s="13" t="s">
        <v>72</v>
      </c>
      <c r="M114" s="124"/>
      <c r="N114" s="124"/>
      <c r="O114" s="124"/>
      <c r="P114" s="124"/>
      <c r="Q114" s="124"/>
      <c r="R114" s="124"/>
      <c r="S114" s="124"/>
      <c r="T114" s="124"/>
    </row>
    <row r="115" spans="1:20" x14ac:dyDescent="0.5">
      <c r="A115" s="330"/>
      <c r="B115" s="388" t="s">
        <v>128</v>
      </c>
      <c r="C115" s="314">
        <f ca="1">C114*C61/100</f>
        <v>78803500.000000015</v>
      </c>
      <c r="D115" s="314">
        <f t="shared" ref="D115:K115" ca="1" si="70">D114*D61/100</f>
        <v>128584974.00000001</v>
      </c>
      <c r="E115" s="314">
        <f t="shared" ca="1" si="70"/>
        <v>102196349.99999999</v>
      </c>
      <c r="F115" s="315">
        <f t="shared" ca="1" si="70"/>
        <v>41010720.930232562</v>
      </c>
      <c r="G115" s="315">
        <f t="shared" ca="1" si="70"/>
        <v>101191832.65116277</v>
      </c>
      <c r="H115" s="315">
        <f t="shared" ca="1" si="70"/>
        <v>70364699.999999955</v>
      </c>
      <c r="I115" s="316">
        <f ca="1">I114*I61/100</f>
        <v>28413127.906976681</v>
      </c>
      <c r="J115" s="316">
        <f t="shared" ca="1" si="70"/>
        <v>92060785.534883767</v>
      </c>
      <c r="K115" s="316">
        <f t="shared" ca="1" si="70"/>
        <v>59754150.000000007</v>
      </c>
      <c r="L115" s="13" t="s">
        <v>96</v>
      </c>
      <c r="M115" s="124"/>
      <c r="N115" s="124"/>
      <c r="O115" s="124"/>
      <c r="P115" s="124"/>
      <c r="Q115" s="124"/>
      <c r="R115" s="124"/>
      <c r="S115" s="124"/>
      <c r="T115" s="124"/>
    </row>
    <row r="116" spans="1:20" x14ac:dyDescent="0.5">
      <c r="A116" s="330"/>
      <c r="B116" s="301"/>
      <c r="C116" s="314"/>
      <c r="D116" s="314"/>
      <c r="E116" s="314"/>
      <c r="F116" s="315"/>
      <c r="G116" s="315"/>
      <c r="H116" s="315"/>
      <c r="I116" s="316"/>
      <c r="J116" s="316"/>
      <c r="K116" s="316"/>
      <c r="L116" s="13"/>
      <c r="M116" s="124"/>
      <c r="N116" s="124"/>
      <c r="O116" s="124"/>
      <c r="P116" s="124"/>
      <c r="Q116" s="124"/>
      <c r="R116" s="124"/>
      <c r="S116" s="124"/>
      <c r="T116" s="124"/>
    </row>
    <row r="117" spans="1:20" x14ac:dyDescent="0.5">
      <c r="A117" s="330"/>
      <c r="B117" s="388" t="s">
        <v>129</v>
      </c>
      <c r="C117" s="314">
        <f t="shared" ref="C117:K117" ca="1" si="71">C11*C91*365/100</f>
        <v>2792250</v>
      </c>
      <c r="D117" s="314">
        <f t="shared" ca="1" si="71"/>
        <v>9381960</v>
      </c>
      <c r="E117" s="314">
        <f t="shared" ca="1" si="71"/>
        <v>2792250</v>
      </c>
      <c r="F117" s="315">
        <f t="shared" ca="1" si="71"/>
        <v>2792249.9999999995</v>
      </c>
      <c r="G117" s="315">
        <f t="shared" ca="1" si="71"/>
        <v>9381959.9999999981</v>
      </c>
      <c r="H117" s="315">
        <f t="shared" ca="1" si="71"/>
        <v>2792250</v>
      </c>
      <c r="I117" s="316">
        <f t="shared" ca="1" si="71"/>
        <v>2792249.9999999995</v>
      </c>
      <c r="J117" s="316">
        <f t="shared" ca="1" si="71"/>
        <v>9381959.9999999981</v>
      </c>
      <c r="K117" s="316">
        <f t="shared" ca="1" si="71"/>
        <v>2792250</v>
      </c>
      <c r="L117" s="13" t="s">
        <v>72</v>
      </c>
      <c r="M117" s="124"/>
      <c r="N117" s="124"/>
      <c r="O117" s="124"/>
      <c r="P117" s="124"/>
      <c r="Q117" s="124"/>
      <c r="R117" s="124"/>
      <c r="S117" s="124"/>
      <c r="T117" s="124"/>
    </row>
    <row r="118" spans="1:20" x14ac:dyDescent="0.5">
      <c r="A118" s="330"/>
      <c r="B118" s="388" t="s">
        <v>130</v>
      </c>
      <c r="C118" s="314">
        <f t="shared" ref="C118:K118" ca="1" si="72">C117*C61/100</f>
        <v>279225</v>
      </c>
      <c r="D118" s="314">
        <f t="shared" ca="1" si="72"/>
        <v>938196</v>
      </c>
      <c r="E118" s="314">
        <f t="shared" ca="1" si="72"/>
        <v>279225</v>
      </c>
      <c r="F118" s="315">
        <f t="shared" ca="1" si="72"/>
        <v>279224.99999999994</v>
      </c>
      <c r="G118" s="315">
        <f t="shared" ca="1" si="72"/>
        <v>938195.99999999988</v>
      </c>
      <c r="H118" s="315">
        <f t="shared" ca="1" si="72"/>
        <v>279225</v>
      </c>
      <c r="I118" s="316">
        <f t="shared" ca="1" si="72"/>
        <v>279224.99999999994</v>
      </c>
      <c r="J118" s="316">
        <f t="shared" ca="1" si="72"/>
        <v>938195.99999999988</v>
      </c>
      <c r="K118" s="316">
        <f t="shared" ca="1" si="72"/>
        <v>279225</v>
      </c>
      <c r="L118" s="13" t="s">
        <v>96</v>
      </c>
      <c r="M118" s="124"/>
      <c r="N118" s="124"/>
      <c r="O118" s="124"/>
      <c r="P118" s="124"/>
      <c r="Q118" s="124"/>
      <c r="R118" s="124"/>
      <c r="S118" s="124"/>
      <c r="T118" s="124"/>
    </row>
    <row r="119" spans="1:20" x14ac:dyDescent="0.5">
      <c r="A119" s="330"/>
      <c r="B119" s="301"/>
      <c r="C119" s="314"/>
      <c r="D119" s="314"/>
      <c r="E119" s="314"/>
      <c r="F119" s="315"/>
      <c r="G119" s="315"/>
      <c r="H119" s="315"/>
      <c r="I119" s="316"/>
      <c r="J119" s="316"/>
      <c r="K119" s="316"/>
      <c r="L119" s="13"/>
      <c r="M119" s="124"/>
      <c r="N119" s="124"/>
      <c r="O119" s="124"/>
      <c r="P119" s="124"/>
      <c r="Q119" s="124"/>
      <c r="R119" s="124"/>
      <c r="S119" s="124"/>
      <c r="T119" s="124"/>
    </row>
    <row r="120" spans="1:20" x14ac:dyDescent="0.5">
      <c r="A120" s="330"/>
      <c r="B120" s="301" t="s">
        <v>131</v>
      </c>
      <c r="C120" s="314"/>
      <c r="D120" s="314"/>
      <c r="E120" s="314"/>
      <c r="F120" s="315"/>
      <c r="G120" s="315"/>
      <c r="H120" s="315"/>
      <c r="I120" s="316"/>
      <c r="J120" s="316"/>
      <c r="K120" s="316"/>
      <c r="L120" s="13"/>
      <c r="M120" s="124"/>
      <c r="N120" s="124"/>
      <c r="O120" s="124"/>
      <c r="P120" s="124"/>
      <c r="Q120" s="124"/>
      <c r="R120" s="124"/>
      <c r="S120" s="124"/>
      <c r="T120" s="124"/>
    </row>
    <row r="121" spans="1:20" x14ac:dyDescent="0.5">
      <c r="A121" s="330"/>
      <c r="B121" s="388" t="s">
        <v>132</v>
      </c>
      <c r="C121" s="317">
        <f t="shared" ref="C121:K121" ca="1" si="73">C95+C100+C105</f>
        <v>122653036.88880529</v>
      </c>
      <c r="D121" s="317">
        <f t="shared" ca="1" si="73"/>
        <v>3147093601.5776076</v>
      </c>
      <c r="E121" s="317">
        <f t="shared" ca="1" si="73"/>
        <v>975752576.24875176</v>
      </c>
      <c r="F121" s="318">
        <f t="shared" ca="1" si="73"/>
        <v>35204295.767576888</v>
      </c>
      <c r="G121" s="318">
        <f t="shared" ca="1" si="73"/>
        <v>552220286.90152979</v>
      </c>
      <c r="H121" s="318">
        <f t="shared" ca="1" si="73"/>
        <v>180926428.69416851</v>
      </c>
      <c r="I121" s="319">
        <f t="shared" ca="1" si="73"/>
        <v>20088507.331555553</v>
      </c>
      <c r="J121" s="319">
        <f t="shared" ca="1" si="73"/>
        <v>213779887.46309948</v>
      </c>
      <c r="K121" s="319">
        <f t="shared" ca="1" si="73"/>
        <v>74884287.478463024</v>
      </c>
      <c r="L121" s="28" t="s">
        <v>96</v>
      </c>
      <c r="M121" s="124"/>
      <c r="N121" s="124"/>
      <c r="O121" s="124"/>
      <c r="P121" s="124"/>
      <c r="Q121" s="124"/>
      <c r="R121" s="124"/>
      <c r="S121" s="124"/>
      <c r="T121" s="124"/>
    </row>
    <row r="122" spans="1:20" x14ac:dyDescent="0.5">
      <c r="A122" s="330"/>
      <c r="B122" s="389" t="s">
        <v>133</v>
      </c>
      <c r="C122" s="320">
        <f ca="1">C121-C123</f>
        <v>91359500</v>
      </c>
      <c r="D122" s="320">
        <f t="shared" ref="D122:K122" ca="1" si="74">D121-D123</f>
        <v>1232379999.9999998</v>
      </c>
      <c r="E122" s="320">
        <f t="shared" ca="1" si="74"/>
        <v>384003250</v>
      </c>
      <c r="F122" s="321">
        <f t="shared" ca="1" si="74"/>
        <v>23220382.200382195</v>
      </c>
      <c r="G122" s="321">
        <f t="shared" ca="1" si="74"/>
        <v>294179608.6996088</v>
      </c>
      <c r="H122" s="321">
        <f t="shared" ca="1" si="74"/>
        <v>92618148.148148164</v>
      </c>
      <c r="I122" s="322">
        <f t="shared" ca="1" si="74"/>
        <v>12233294.84029484</v>
      </c>
      <c r="J122" s="322">
        <f t="shared" ca="1" si="74"/>
        <v>140216726.71112674</v>
      </c>
      <c r="K122" s="322">
        <f t="shared" ca="1" si="74"/>
        <v>45167500</v>
      </c>
      <c r="L122" s="127" t="s">
        <v>96</v>
      </c>
      <c r="M122" s="124"/>
      <c r="N122" s="124"/>
      <c r="O122" s="124"/>
      <c r="P122" s="124"/>
      <c r="Q122" s="124"/>
      <c r="R122" s="124"/>
      <c r="S122" s="124"/>
      <c r="T122" s="124"/>
    </row>
    <row r="123" spans="1:20" x14ac:dyDescent="0.5">
      <c r="A123" s="330"/>
      <c r="B123" s="389" t="s">
        <v>134</v>
      </c>
      <c r="C123" s="320">
        <f t="shared" ref="C123:K123" ca="1" si="75">C95-(C94/C8)+IF(C100=0,0,C100-(C99/C25))+IF(C105=0,0,C105-(C104/C40))</f>
        <v>31293536.888805281</v>
      </c>
      <c r="D123" s="320">
        <f t="shared" ca="1" si="75"/>
        <v>1914713601.5776079</v>
      </c>
      <c r="E123" s="320">
        <f t="shared" ca="1" si="75"/>
        <v>591749326.24875176</v>
      </c>
      <c r="F123" s="321">
        <f t="shared" ca="1" si="75"/>
        <v>11983913.567194691</v>
      </c>
      <c r="G123" s="321">
        <f t="shared" ca="1" si="75"/>
        <v>258040678.20192099</v>
      </c>
      <c r="H123" s="321">
        <f t="shared" ca="1" si="75"/>
        <v>88308280.546020344</v>
      </c>
      <c r="I123" s="322">
        <f t="shared" ca="1" si="75"/>
        <v>7855212.491260713</v>
      </c>
      <c r="J123" s="322">
        <f t="shared" ca="1" si="75"/>
        <v>73563160.751972735</v>
      </c>
      <c r="K123" s="322">
        <f t="shared" ca="1" si="75"/>
        <v>29716787.478463028</v>
      </c>
      <c r="L123" s="127" t="s">
        <v>96</v>
      </c>
      <c r="M123" s="124"/>
      <c r="N123" s="124"/>
      <c r="O123" s="124"/>
      <c r="P123" s="124"/>
      <c r="Q123" s="124"/>
      <c r="R123" s="124"/>
      <c r="S123" s="124"/>
      <c r="T123" s="124"/>
    </row>
    <row r="124" spans="1:20" x14ac:dyDescent="0.5">
      <c r="A124" s="330"/>
      <c r="B124" s="388" t="s">
        <v>135</v>
      </c>
      <c r="C124" s="317">
        <f t="shared" ref="C124:K124" ca="1" si="76">C68*C99+C67*C94+C104*C69</f>
        <v>28165750</v>
      </c>
      <c r="D124" s="317">
        <f t="shared" ca="1" si="76"/>
        <v>95635000</v>
      </c>
      <c r="E124" s="317">
        <f t="shared" ca="1" si="76"/>
        <v>69798985</v>
      </c>
      <c r="F124" s="318">
        <f t="shared" ca="1" si="76"/>
        <v>10400890.663390663</v>
      </c>
      <c r="G124" s="318">
        <f t="shared" ca="1" si="76"/>
        <v>33514481.572481569</v>
      </c>
      <c r="H124" s="318">
        <f t="shared" ca="1" si="76"/>
        <v>24549250</v>
      </c>
      <c r="I124" s="319">
        <f t="shared" ca="1" si="76"/>
        <v>6417458.2309582308</v>
      </c>
      <c r="J124" s="319">
        <f t="shared" ca="1" si="76"/>
        <v>19508963.425763424</v>
      </c>
      <c r="K124" s="319">
        <f t="shared" ca="1" si="76"/>
        <v>14292250</v>
      </c>
      <c r="L124" s="28" t="s">
        <v>96</v>
      </c>
      <c r="M124" s="124"/>
      <c r="N124" s="124"/>
      <c r="O124" s="124"/>
      <c r="P124" s="124"/>
      <c r="Q124" s="124"/>
      <c r="R124" s="124"/>
      <c r="S124" s="124"/>
      <c r="T124" s="124"/>
    </row>
    <row r="125" spans="1:20" x14ac:dyDescent="0.5">
      <c r="A125" s="330"/>
      <c r="B125" s="388" t="s">
        <v>136</v>
      </c>
      <c r="C125" s="317">
        <f ca="1">C115</f>
        <v>78803500.000000015</v>
      </c>
      <c r="D125" s="317">
        <f t="shared" ref="D125:K125" ca="1" si="77">D115</f>
        <v>128584974.00000001</v>
      </c>
      <c r="E125" s="317">
        <f t="shared" ca="1" si="77"/>
        <v>102196349.99999999</v>
      </c>
      <c r="F125" s="318">
        <f t="shared" ca="1" si="77"/>
        <v>41010720.930232562</v>
      </c>
      <c r="G125" s="318">
        <f t="shared" ca="1" si="77"/>
        <v>101191832.65116277</v>
      </c>
      <c r="H125" s="318">
        <f t="shared" ca="1" si="77"/>
        <v>70364699.999999955</v>
      </c>
      <c r="I125" s="319">
        <f ca="1">I115</f>
        <v>28413127.906976681</v>
      </c>
      <c r="J125" s="319">
        <f t="shared" ca="1" si="77"/>
        <v>92060785.534883767</v>
      </c>
      <c r="K125" s="319">
        <f t="shared" ca="1" si="77"/>
        <v>59754150.000000007</v>
      </c>
      <c r="L125" s="28" t="s">
        <v>96</v>
      </c>
      <c r="M125" s="124"/>
      <c r="N125" s="124"/>
      <c r="O125" s="124"/>
      <c r="P125" s="124"/>
      <c r="Q125" s="124"/>
      <c r="R125" s="124"/>
      <c r="S125" s="124"/>
      <c r="T125" s="124"/>
    </row>
    <row r="126" spans="1:20" x14ac:dyDescent="0.5">
      <c r="A126" s="330"/>
      <c r="B126" s="388" t="s">
        <v>137</v>
      </c>
      <c r="C126" s="317">
        <f ca="1">C118</f>
        <v>279225</v>
      </c>
      <c r="D126" s="317">
        <f t="shared" ref="D126:K126" ca="1" si="78">D118</f>
        <v>938196</v>
      </c>
      <c r="E126" s="317">
        <f t="shared" ca="1" si="78"/>
        <v>279225</v>
      </c>
      <c r="F126" s="318">
        <f t="shared" ca="1" si="78"/>
        <v>279224.99999999994</v>
      </c>
      <c r="G126" s="318">
        <f t="shared" ca="1" si="78"/>
        <v>938195.99999999988</v>
      </c>
      <c r="H126" s="318">
        <f t="shared" ca="1" si="78"/>
        <v>279225</v>
      </c>
      <c r="I126" s="319">
        <f t="shared" ca="1" si="78"/>
        <v>279224.99999999994</v>
      </c>
      <c r="J126" s="319">
        <f t="shared" ca="1" si="78"/>
        <v>938195.99999999988</v>
      </c>
      <c r="K126" s="319">
        <f t="shared" ca="1" si="78"/>
        <v>279225</v>
      </c>
      <c r="L126" s="28" t="s">
        <v>96</v>
      </c>
      <c r="M126" s="124"/>
      <c r="N126" s="124"/>
      <c r="O126" s="124"/>
      <c r="P126" s="124"/>
      <c r="Q126" s="124"/>
      <c r="R126" s="124"/>
      <c r="S126" s="124"/>
      <c r="T126" s="124"/>
    </row>
    <row r="127" spans="1:20" x14ac:dyDescent="0.5">
      <c r="A127" s="330"/>
      <c r="B127" s="388" t="s">
        <v>138</v>
      </c>
      <c r="C127" s="317">
        <f ca="1">C121+SUM(C124:C126)</f>
        <v>229901511.8888053</v>
      </c>
      <c r="D127" s="317">
        <f t="shared" ref="D127:K127" ca="1" si="79">D121+SUM(D124:D126)</f>
        <v>3372251771.5776076</v>
      </c>
      <c r="E127" s="317">
        <f t="shared" ca="1" si="79"/>
        <v>1148027136.2487516</v>
      </c>
      <c r="F127" s="318">
        <f t="shared" ca="1" si="79"/>
        <v>86895132.361200109</v>
      </c>
      <c r="G127" s="318">
        <f t="shared" ca="1" si="79"/>
        <v>687864797.12517416</v>
      </c>
      <c r="H127" s="318">
        <f t="shared" ca="1" si="79"/>
        <v>276119603.69416845</v>
      </c>
      <c r="I127" s="319">
        <f t="shared" ca="1" si="79"/>
        <v>55198318.469490461</v>
      </c>
      <c r="J127" s="319">
        <f t="shared" ca="1" si="79"/>
        <v>326287832.42374671</v>
      </c>
      <c r="K127" s="319">
        <f t="shared" ca="1" si="79"/>
        <v>149209912.47846302</v>
      </c>
      <c r="L127" s="28" t="s">
        <v>96</v>
      </c>
      <c r="M127" s="124"/>
      <c r="N127" s="124"/>
      <c r="O127" s="124"/>
      <c r="P127" s="124"/>
      <c r="Q127" s="124"/>
      <c r="R127" s="124"/>
      <c r="S127" s="124"/>
      <c r="T127" s="124"/>
    </row>
    <row r="128" spans="1:20" x14ac:dyDescent="0.5">
      <c r="A128" s="330"/>
      <c r="B128" s="388"/>
      <c r="C128" s="317"/>
      <c r="D128" s="317"/>
      <c r="E128" s="317"/>
      <c r="F128" s="318"/>
      <c r="G128" s="318"/>
      <c r="H128" s="318"/>
      <c r="I128" s="319"/>
      <c r="J128" s="319"/>
      <c r="K128" s="319"/>
      <c r="L128" s="28"/>
      <c r="M128" s="124"/>
      <c r="N128" s="124"/>
      <c r="O128" s="124"/>
      <c r="P128" s="124"/>
      <c r="Q128" s="124"/>
      <c r="R128" s="124"/>
      <c r="S128" s="124"/>
      <c r="T128" s="124"/>
    </row>
    <row r="129" spans="1:20" x14ac:dyDescent="0.5">
      <c r="A129" s="330"/>
      <c r="B129" s="388"/>
      <c r="C129" s="317"/>
      <c r="D129" s="317"/>
      <c r="E129" s="317"/>
      <c r="F129" s="318"/>
      <c r="G129" s="318"/>
      <c r="H129" s="318"/>
      <c r="I129" s="319"/>
      <c r="J129" s="319"/>
      <c r="K129" s="319"/>
      <c r="L129" s="28"/>
      <c r="M129" s="124"/>
      <c r="N129" s="124"/>
      <c r="O129" s="124"/>
      <c r="P129" s="124"/>
      <c r="Q129" s="124"/>
      <c r="R129" s="124"/>
      <c r="S129" s="124"/>
      <c r="T129" s="124"/>
    </row>
    <row r="130" spans="1:20" ht="18" x14ac:dyDescent="0.6">
      <c r="A130" s="330"/>
      <c r="B130" s="374" t="s">
        <v>139</v>
      </c>
      <c r="C130" s="330"/>
      <c r="D130" s="330"/>
      <c r="E130" s="330"/>
      <c r="F130" s="330"/>
      <c r="G130" s="330"/>
      <c r="H130" s="330"/>
      <c r="I130" s="330"/>
      <c r="J130" s="330"/>
      <c r="K130" s="330"/>
      <c r="L130" s="13"/>
      <c r="M130" s="124"/>
      <c r="N130" s="124"/>
      <c r="O130" s="124"/>
      <c r="P130" s="124"/>
      <c r="Q130" s="124"/>
      <c r="R130" s="124"/>
      <c r="S130" s="124"/>
      <c r="T130" s="124"/>
    </row>
    <row r="131" spans="1:20" ht="18" x14ac:dyDescent="0.6">
      <c r="A131" s="330"/>
      <c r="B131" s="378"/>
      <c r="C131" s="409">
        <v>2016</v>
      </c>
      <c r="D131" s="409"/>
      <c r="E131" s="409"/>
      <c r="F131" s="410">
        <v>2025</v>
      </c>
      <c r="G131" s="410"/>
      <c r="H131" s="410"/>
      <c r="I131" s="411">
        <v>2030</v>
      </c>
      <c r="J131" s="411"/>
      <c r="K131" s="411"/>
      <c r="L131" s="13"/>
      <c r="M131" s="124"/>
      <c r="N131" s="124"/>
      <c r="O131" s="124"/>
      <c r="P131" s="124"/>
      <c r="Q131" s="124"/>
      <c r="R131" s="124"/>
      <c r="S131" s="124"/>
      <c r="T131" s="124"/>
    </row>
    <row r="132" spans="1:20" ht="14.7" thickBot="1" x14ac:dyDescent="0.55000000000000004">
      <c r="A132" s="330"/>
      <c r="B132" s="382"/>
      <c r="C132" s="327" t="s">
        <v>56</v>
      </c>
      <c r="D132" s="327" t="s">
        <v>57</v>
      </c>
      <c r="E132" s="327" t="s">
        <v>58</v>
      </c>
      <c r="F132" s="328" t="s">
        <v>56</v>
      </c>
      <c r="G132" s="328" t="s">
        <v>57</v>
      </c>
      <c r="H132" s="328" t="s">
        <v>58</v>
      </c>
      <c r="I132" s="329" t="s">
        <v>56</v>
      </c>
      <c r="J132" s="329" t="s">
        <v>57</v>
      </c>
      <c r="K132" s="329" t="s">
        <v>58</v>
      </c>
      <c r="L132" s="120" t="s">
        <v>59</v>
      </c>
      <c r="M132" s="124"/>
      <c r="N132" s="124"/>
      <c r="O132" s="124"/>
      <c r="P132" s="124"/>
      <c r="Q132" s="124"/>
      <c r="R132" s="124"/>
      <c r="S132" s="124"/>
      <c r="T132" s="124"/>
    </row>
    <row r="133" spans="1:20" x14ac:dyDescent="0.5">
      <c r="A133" s="330"/>
      <c r="B133" s="301" t="s">
        <v>140</v>
      </c>
      <c r="C133" s="384"/>
      <c r="D133" s="384"/>
      <c r="E133" s="384"/>
      <c r="F133" s="386"/>
      <c r="G133" s="386"/>
      <c r="H133" s="386"/>
      <c r="I133" s="387"/>
      <c r="J133" s="387"/>
      <c r="K133" s="387"/>
      <c r="L133" s="28"/>
      <c r="M133" s="124"/>
      <c r="N133" s="124"/>
      <c r="O133" s="124"/>
      <c r="P133" s="124"/>
      <c r="Q133" s="124"/>
      <c r="R133" s="124"/>
      <c r="S133" s="124"/>
      <c r="T133" s="124"/>
    </row>
    <row r="134" spans="1:20" x14ac:dyDescent="0.5">
      <c r="A134" s="375" t="s">
        <v>141</v>
      </c>
      <c r="B134" s="388" t="s">
        <v>142</v>
      </c>
      <c r="C134" s="323">
        <f t="shared" ref="C134:K134" ca="1" si="80">C127/C88</f>
        <v>216.88821876302387</v>
      </c>
      <c r="D134" s="323">
        <f t="shared" ca="1" si="80"/>
        <v>3181.3695958279318</v>
      </c>
      <c r="E134" s="323">
        <f t="shared" ca="1" si="80"/>
        <v>1083.0444681591996</v>
      </c>
      <c r="F134" s="324">
        <f t="shared" ca="1" si="80"/>
        <v>81.976539963396334</v>
      </c>
      <c r="G134" s="324">
        <f t="shared" ca="1" si="80"/>
        <v>648.92905389167379</v>
      </c>
      <c r="H134" s="324">
        <f t="shared" ca="1" si="80"/>
        <v>260.49019216430986</v>
      </c>
      <c r="I134" s="325">
        <f t="shared" ca="1" si="80"/>
        <v>52.073885348575907</v>
      </c>
      <c r="J134" s="325">
        <f t="shared" ca="1" si="80"/>
        <v>307.81870983372329</v>
      </c>
      <c r="K134" s="325">
        <f t="shared" ca="1" si="80"/>
        <v>140.76406837590852</v>
      </c>
      <c r="L134" s="28" t="s">
        <v>96</v>
      </c>
      <c r="M134" s="124"/>
      <c r="N134" s="124"/>
      <c r="O134" s="124"/>
      <c r="P134" s="124"/>
      <c r="Q134" s="124"/>
      <c r="R134" s="124"/>
      <c r="S134" s="124"/>
      <c r="T134" s="124"/>
    </row>
    <row r="135" spans="1:20" x14ac:dyDescent="0.5">
      <c r="A135" s="375" t="s">
        <v>141</v>
      </c>
      <c r="B135" s="388" t="s">
        <v>143</v>
      </c>
      <c r="C135" s="323">
        <f ca="1">100*C127/C112</f>
        <v>3.7051009168220035</v>
      </c>
      <c r="D135" s="323">
        <f ca="1">100*D127/D112</f>
        <v>64.699201327224728</v>
      </c>
      <c r="E135" s="323">
        <f ca="1">100*E127/E112</f>
        <v>20.557384479340168</v>
      </c>
      <c r="F135" s="324">
        <f t="shared" ref="F135:K135" ca="1" si="81">100*F127/F112</f>
        <v>1.4004050340241758</v>
      </c>
      <c r="G135" s="324">
        <f ca="1">100*G127/G112</f>
        <v>13.197206498698709</v>
      </c>
      <c r="H135" s="324">
        <f t="shared" ca="1" si="81"/>
        <v>4.9443925811472544</v>
      </c>
      <c r="I135" s="325">
        <f t="shared" ca="1" si="81"/>
        <v>0.8895780575260348</v>
      </c>
      <c r="J135" s="325">
        <f t="shared" ca="1" si="81"/>
        <v>6.2600788999606065</v>
      </c>
      <c r="K135" s="325">
        <f t="shared" ca="1" si="81"/>
        <v>2.6718580442020419</v>
      </c>
      <c r="L135" s="28" t="s">
        <v>144</v>
      </c>
      <c r="M135" s="124"/>
      <c r="N135" s="124"/>
      <c r="O135" s="124"/>
      <c r="P135" s="124"/>
      <c r="Q135" s="124"/>
      <c r="R135" s="124"/>
      <c r="S135" s="124"/>
      <c r="T135" s="124"/>
    </row>
    <row r="136" spans="1:20" x14ac:dyDescent="0.5">
      <c r="A136" s="330"/>
      <c r="B136" s="330"/>
      <c r="C136" s="330"/>
      <c r="D136" s="330"/>
      <c r="E136" s="330"/>
      <c r="F136" s="330"/>
      <c r="G136" s="330"/>
      <c r="H136" s="330"/>
      <c r="I136" s="330"/>
      <c r="J136" s="330"/>
      <c r="K136" s="330"/>
      <c r="L136" s="124"/>
      <c r="M136" s="124"/>
      <c r="N136" s="124"/>
      <c r="O136" s="124"/>
      <c r="P136" s="124"/>
      <c r="Q136" s="124"/>
      <c r="R136" s="124"/>
      <c r="S136" s="124"/>
      <c r="T136" s="124"/>
    </row>
    <row r="137" spans="1:20" x14ac:dyDescent="0.5">
      <c r="B137" s="124"/>
      <c r="D137" s="124"/>
      <c r="E137" s="124"/>
      <c r="F137" s="124"/>
      <c r="G137" s="124"/>
      <c r="H137" s="124"/>
      <c r="I137" s="129"/>
      <c r="J137" s="129"/>
      <c r="K137" s="129"/>
      <c r="L137" s="129"/>
      <c r="M137" s="129"/>
      <c r="N137" s="129"/>
      <c r="O137" s="129"/>
      <c r="P137" s="129"/>
      <c r="Q137" s="129"/>
      <c r="R137" s="124"/>
      <c r="S137" s="124"/>
      <c r="T137" s="124"/>
    </row>
    <row r="138" spans="1:20" x14ac:dyDescent="0.5">
      <c r="B138" s="124"/>
      <c r="D138" s="124"/>
      <c r="E138" s="124"/>
      <c r="F138" s="124"/>
      <c r="G138" s="124"/>
      <c r="H138" s="124"/>
      <c r="I138" s="139"/>
      <c r="J138" s="139"/>
      <c r="K138" s="139"/>
      <c r="L138" s="139"/>
      <c r="M138" s="139"/>
      <c r="N138" s="139"/>
      <c r="O138" s="139"/>
      <c r="P138" s="139"/>
      <c r="Q138" s="139"/>
      <c r="R138" s="139"/>
      <c r="S138" s="124"/>
      <c r="T138" s="124"/>
    </row>
    <row r="139" spans="1:20" x14ac:dyDescent="0.5">
      <c r="B139" s="124"/>
      <c r="D139" s="124"/>
      <c r="E139" s="124"/>
      <c r="F139" s="124"/>
      <c r="G139" s="326" t="s">
        <v>145</v>
      </c>
      <c r="H139" s="326" t="str">
        <f ca="1">IF(SUM(I139:P139)=8,"OK","ERROR")</f>
        <v>OK</v>
      </c>
      <c r="I139" s="130">
        <f>IF(AND(ISNUMBER(SEARCH("Pumped", $B$4)),$E$88&lt;1000),0,1)</f>
        <v>1</v>
      </c>
      <c r="J139" s="130">
        <f>IF(AND(ISNUMBER(SEARCH("CAES", $B$4)),$E$88&lt;1000),0,1)</f>
        <v>1</v>
      </c>
      <c r="K139" s="130">
        <f>IF(AND(ISNUMBER(SEARCH("Flow", $B$4)),$E$88&lt;5),0,1)</f>
        <v>1</v>
      </c>
      <c r="L139" s="130">
        <f>IF(AND(ISNUMBER(SEARCH("NaS", $B$4)),$E$88&lt;5),0,1)</f>
        <v>1</v>
      </c>
      <c r="M139" s="130">
        <f>IF(AND(ISNUMBER(SEARCH("NaNi", $B$4)),$E$88&lt;5),0,1)</f>
        <v>1</v>
      </c>
      <c r="N139" s="130">
        <f>IF(AND(ISNUMBER(SEARCH("NaNi", $B$4)),$E$88&lt;5),0,1)</f>
        <v>1</v>
      </c>
      <c r="O139" s="130">
        <f ca="1">IF(AND(ISNUMBER(SEARCH("Contain", $B$54)),$E$12&gt;=30),0,1)</f>
        <v>1</v>
      </c>
      <c r="P139" s="130">
        <f ca="1">IF(AND(ISNUMBER(SEARCH("Enhanced", $B$54)),$E$12&gt;=30),0,1)</f>
        <v>1</v>
      </c>
      <c r="Q139" s="139"/>
      <c r="R139" s="139"/>
      <c r="S139" s="124"/>
      <c r="T139" s="124"/>
    </row>
    <row r="140" spans="1:20" x14ac:dyDescent="0.5">
      <c r="B140" s="124"/>
      <c r="D140" s="124"/>
      <c r="E140" s="124"/>
      <c r="F140" s="124"/>
      <c r="G140" s="326" t="s">
        <v>146</v>
      </c>
      <c r="H140" s="326" t="str">
        <f>IF(SUM(I140:K140)=3,"OK","ERROR")</f>
        <v>OK</v>
      </c>
      <c r="I140" s="130">
        <f>IF(ISNUMBER(SEARCH("Pumped", $B$4)),IF(ISNUMBER(SEARCH("PHS", $B$21)),1,0),1)</f>
        <v>1</v>
      </c>
      <c r="J140" s="130">
        <f>IF(ISNUMBER(SEARCH("CAES", $B$4)),IF(ISNUMBER(SEARCH("CAES", $B$21)),1,0),1)</f>
        <v>1</v>
      </c>
      <c r="K140" s="130">
        <f>IF(ISNUMBER(SEARCH("Flywheel", $B$4)),IF(ISNUMBER(SEARCH("Flywheel", $B$21)),1,0),1)</f>
        <v>1</v>
      </c>
      <c r="L140" s="140"/>
      <c r="M140" s="139"/>
      <c r="N140" s="139"/>
      <c r="O140" s="139"/>
      <c r="P140" s="139"/>
      <c r="Q140" s="139"/>
      <c r="R140" s="139"/>
      <c r="S140" s="124"/>
      <c r="T140" s="124"/>
    </row>
    <row r="141" spans="1:20" x14ac:dyDescent="0.5">
      <c r="B141" s="124"/>
      <c r="D141" s="124"/>
      <c r="E141" s="124"/>
      <c r="F141" s="124"/>
      <c r="G141" s="125"/>
      <c r="H141" s="124"/>
      <c r="I141" s="139"/>
      <c r="J141" s="139"/>
      <c r="K141" s="139"/>
      <c r="L141" s="139"/>
      <c r="M141" s="139"/>
      <c r="N141" s="139"/>
      <c r="O141" s="139"/>
      <c r="P141" s="139"/>
      <c r="Q141" s="139"/>
      <c r="R141" s="139"/>
      <c r="S141" s="124"/>
      <c r="T141" s="124"/>
    </row>
    <row r="142" spans="1:20" x14ac:dyDescent="0.5">
      <c r="B142" s="124"/>
      <c r="D142" s="124"/>
      <c r="E142" s="124"/>
      <c r="F142" s="124"/>
      <c r="G142" s="124"/>
      <c r="H142" s="124"/>
      <c r="I142" s="139"/>
      <c r="J142" s="139"/>
      <c r="K142" s="139"/>
      <c r="L142" s="139"/>
      <c r="M142" s="139"/>
      <c r="N142" s="139"/>
      <c r="O142" s="139"/>
      <c r="P142" s="139"/>
      <c r="Q142" s="139"/>
      <c r="R142" s="139"/>
      <c r="S142" s="124"/>
      <c r="T142" s="124"/>
    </row>
    <row r="143" spans="1:20" x14ac:dyDescent="0.5">
      <c r="B143" s="124"/>
      <c r="D143" s="124"/>
      <c r="E143" s="124"/>
      <c r="F143" s="124"/>
      <c r="G143" s="124"/>
      <c r="H143" s="124"/>
      <c r="I143" s="139"/>
      <c r="J143" s="139"/>
      <c r="K143" s="139"/>
      <c r="L143" s="139"/>
      <c r="M143" s="139"/>
      <c r="N143" s="139"/>
      <c r="O143" s="139"/>
      <c r="P143" s="139"/>
      <c r="Q143" s="139"/>
      <c r="R143" s="139"/>
      <c r="S143" s="124"/>
      <c r="T143" s="124"/>
    </row>
    <row r="144" spans="1:20" x14ac:dyDescent="0.5">
      <c r="B144" s="124"/>
      <c r="D144" s="124"/>
      <c r="E144" s="124"/>
      <c r="F144" s="124"/>
      <c r="G144" s="124"/>
      <c r="H144" s="124"/>
      <c r="I144" s="129"/>
      <c r="J144" s="129"/>
      <c r="K144" s="129"/>
      <c r="L144" s="129"/>
      <c r="M144" s="129"/>
      <c r="N144" s="129"/>
      <c r="O144" s="129"/>
      <c r="P144" s="129"/>
      <c r="Q144" s="129"/>
      <c r="R144" s="124"/>
      <c r="S144" s="124"/>
      <c r="T144" s="124"/>
    </row>
    <row r="145" spans="2:20" x14ac:dyDescent="0.5">
      <c r="B145" s="124"/>
      <c r="D145" s="124"/>
      <c r="E145" s="124"/>
      <c r="F145" s="124"/>
      <c r="G145" s="124"/>
      <c r="H145" s="124"/>
      <c r="I145" s="124"/>
      <c r="J145" s="124"/>
      <c r="K145" s="124"/>
      <c r="L145" s="124"/>
      <c r="M145" s="124"/>
      <c r="N145" s="124"/>
      <c r="O145" s="124"/>
      <c r="P145" s="124"/>
      <c r="Q145" s="124"/>
      <c r="R145" s="124"/>
      <c r="S145" s="124"/>
      <c r="T145" s="124"/>
    </row>
    <row r="146" spans="2:20" x14ac:dyDescent="0.5">
      <c r="B146" s="124"/>
      <c r="D146" s="124"/>
      <c r="E146" s="124"/>
      <c r="F146" s="124"/>
      <c r="G146" s="124"/>
      <c r="H146" s="124"/>
      <c r="I146" s="124"/>
      <c r="J146" s="124"/>
      <c r="K146" s="124"/>
      <c r="L146" s="124"/>
      <c r="M146" s="124"/>
      <c r="N146" s="124"/>
      <c r="O146" s="124"/>
      <c r="P146" s="124"/>
      <c r="Q146" s="124"/>
      <c r="R146" s="124"/>
      <c r="S146" s="124"/>
      <c r="T146" s="124"/>
    </row>
    <row r="147" spans="2:20" x14ac:dyDescent="0.5">
      <c r="B147" s="124"/>
      <c r="D147" s="124"/>
      <c r="E147" s="124"/>
      <c r="F147" s="124"/>
      <c r="G147" s="124"/>
      <c r="H147" s="124"/>
      <c r="I147" s="124"/>
      <c r="J147" s="124"/>
      <c r="K147" s="124"/>
      <c r="L147" s="124"/>
      <c r="M147" s="124"/>
      <c r="N147" s="124"/>
      <c r="O147" s="124"/>
      <c r="P147" s="124"/>
      <c r="Q147" s="124"/>
      <c r="R147" s="124"/>
      <c r="S147" s="124"/>
      <c r="T147" s="124"/>
    </row>
    <row r="148" spans="2:20" x14ac:dyDescent="0.5">
      <c r="B148" s="124"/>
      <c r="D148" s="124"/>
      <c r="E148" s="124"/>
      <c r="F148" s="124"/>
      <c r="G148" s="124"/>
      <c r="H148" s="124"/>
      <c r="I148" s="124"/>
      <c r="J148" s="124"/>
      <c r="K148" s="124"/>
      <c r="L148" s="124"/>
      <c r="M148" s="124"/>
      <c r="N148" s="124"/>
      <c r="O148" s="124"/>
      <c r="P148" s="124"/>
      <c r="Q148" s="124"/>
      <c r="R148" s="124"/>
      <c r="S148" s="124"/>
      <c r="T148" s="124"/>
    </row>
    <row r="149" spans="2:20" x14ac:dyDescent="0.5">
      <c r="B149" s="124"/>
      <c r="D149" s="124"/>
      <c r="E149" s="124"/>
      <c r="F149" s="124"/>
      <c r="G149" s="124"/>
      <c r="H149" s="124"/>
      <c r="I149" s="124"/>
      <c r="J149" s="124"/>
      <c r="K149" s="124"/>
      <c r="L149" s="124"/>
      <c r="M149" s="124"/>
      <c r="N149" s="124"/>
      <c r="O149" s="124"/>
      <c r="P149" s="124"/>
      <c r="Q149" s="124"/>
      <c r="R149" s="124"/>
      <c r="S149" s="124"/>
      <c r="T149" s="124"/>
    </row>
    <row r="150" spans="2:20" x14ac:dyDescent="0.5">
      <c r="B150" s="124"/>
      <c r="D150" s="124"/>
      <c r="E150" s="124"/>
      <c r="F150" s="124"/>
      <c r="G150" s="124"/>
      <c r="H150" s="124"/>
      <c r="I150" s="124"/>
      <c r="J150" s="124"/>
      <c r="K150" s="124"/>
      <c r="L150" s="124"/>
      <c r="M150" s="124"/>
      <c r="N150" s="124"/>
      <c r="O150" s="124"/>
      <c r="P150" s="124"/>
      <c r="Q150" s="124"/>
      <c r="R150" s="124"/>
      <c r="S150" s="124"/>
      <c r="T150" s="124"/>
    </row>
    <row r="151" spans="2:20" x14ac:dyDescent="0.5">
      <c r="B151" s="124"/>
      <c r="D151" s="124"/>
      <c r="E151" s="124"/>
      <c r="F151" s="124"/>
      <c r="G151" s="124"/>
      <c r="H151" s="124"/>
      <c r="I151" s="124"/>
      <c r="J151" s="124"/>
      <c r="K151" s="124"/>
      <c r="L151" s="124"/>
      <c r="M151" s="124"/>
      <c r="N151" s="124"/>
      <c r="O151" s="124"/>
      <c r="P151" s="124"/>
      <c r="Q151" s="124"/>
      <c r="R151" s="124"/>
      <c r="S151" s="124"/>
      <c r="T151" s="124"/>
    </row>
    <row r="152" spans="2:20" x14ac:dyDescent="0.5">
      <c r="B152" s="124"/>
      <c r="D152" s="124"/>
      <c r="E152" s="124"/>
      <c r="F152" s="124"/>
      <c r="G152" s="124"/>
      <c r="H152" s="124"/>
      <c r="I152" s="124"/>
      <c r="J152" s="124"/>
      <c r="K152" s="124"/>
      <c r="L152" s="124"/>
      <c r="M152" s="124"/>
      <c r="N152" s="124"/>
      <c r="O152" s="124"/>
      <c r="P152" s="124"/>
      <c r="Q152" s="124"/>
      <c r="R152" s="124"/>
      <c r="S152" s="124"/>
      <c r="T152" s="124"/>
    </row>
    <row r="153" spans="2:20" x14ac:dyDescent="0.5">
      <c r="B153" s="124"/>
      <c r="D153" s="124"/>
      <c r="E153" s="124"/>
      <c r="F153" s="124"/>
      <c r="G153" s="124"/>
      <c r="H153" s="124"/>
      <c r="I153" s="124"/>
      <c r="J153" s="124"/>
      <c r="K153" s="124"/>
      <c r="L153" s="124"/>
      <c r="M153" s="124"/>
      <c r="N153" s="124"/>
      <c r="O153" s="124"/>
      <c r="P153" s="124"/>
      <c r="Q153" s="124"/>
      <c r="R153" s="124"/>
      <c r="S153" s="124"/>
      <c r="T153" s="124"/>
    </row>
    <row r="154" spans="2:20" x14ac:dyDescent="0.5">
      <c r="B154" s="124"/>
      <c r="D154" s="124"/>
      <c r="E154" s="124"/>
      <c r="F154" s="124"/>
      <c r="G154" s="124"/>
      <c r="H154" s="124"/>
      <c r="I154" s="124"/>
      <c r="J154" s="124"/>
      <c r="K154" s="124"/>
      <c r="L154" s="124"/>
      <c r="M154" s="124"/>
      <c r="N154" s="124"/>
      <c r="O154" s="124"/>
      <c r="P154" s="124"/>
      <c r="Q154" s="124"/>
      <c r="R154" s="124"/>
      <c r="S154" s="124"/>
      <c r="T154" s="124"/>
    </row>
    <row r="155" spans="2:20" x14ac:dyDescent="0.5">
      <c r="B155" s="124"/>
      <c r="D155" s="124"/>
      <c r="E155" s="124"/>
      <c r="F155" s="124"/>
      <c r="G155" s="124"/>
      <c r="H155" s="124"/>
      <c r="I155" s="124"/>
      <c r="J155" s="124"/>
      <c r="K155" s="124"/>
      <c r="L155" s="124"/>
      <c r="M155" s="124"/>
      <c r="N155" s="124"/>
      <c r="O155" s="124"/>
      <c r="P155" s="124"/>
      <c r="Q155" s="124"/>
      <c r="R155" s="124"/>
      <c r="S155" s="124"/>
      <c r="T155" s="124"/>
    </row>
    <row r="156" spans="2:20" x14ac:dyDescent="0.5">
      <c r="B156" s="124"/>
      <c r="D156" s="124"/>
      <c r="E156" s="124"/>
      <c r="F156" s="124"/>
      <c r="G156" s="124"/>
      <c r="H156" s="124"/>
      <c r="I156" s="124"/>
      <c r="J156" s="124"/>
      <c r="K156" s="124"/>
      <c r="L156" s="124"/>
      <c r="M156" s="124"/>
      <c r="N156" s="124"/>
      <c r="O156" s="124"/>
      <c r="P156" s="124"/>
      <c r="Q156" s="124"/>
      <c r="R156" s="124"/>
      <c r="S156" s="124"/>
      <c r="T156" s="124"/>
    </row>
    <row r="157" spans="2:20" x14ac:dyDescent="0.5">
      <c r="B157" s="124"/>
      <c r="D157" s="124"/>
      <c r="E157" s="124"/>
      <c r="F157" s="124"/>
      <c r="G157" s="124"/>
      <c r="H157" s="124"/>
      <c r="I157" s="124"/>
      <c r="J157" s="124"/>
      <c r="K157" s="124"/>
      <c r="L157" s="124"/>
      <c r="M157" s="124"/>
      <c r="N157" s="124"/>
      <c r="O157" s="124"/>
      <c r="P157" s="124"/>
      <c r="Q157" s="124"/>
      <c r="R157" s="124"/>
      <c r="S157" s="124"/>
      <c r="T157" s="124"/>
    </row>
    <row r="158" spans="2:20" x14ac:dyDescent="0.5">
      <c r="B158" s="124"/>
      <c r="D158" s="124"/>
      <c r="E158" s="124"/>
      <c r="F158" s="124"/>
      <c r="G158" s="124"/>
      <c r="H158" s="124"/>
      <c r="I158" s="124"/>
      <c r="J158" s="124"/>
      <c r="K158" s="124"/>
      <c r="L158" s="124"/>
      <c r="M158" s="124"/>
      <c r="N158" s="124"/>
      <c r="O158" s="124"/>
      <c r="P158" s="124"/>
      <c r="Q158" s="124"/>
      <c r="R158" s="124"/>
      <c r="S158" s="124"/>
      <c r="T158" s="124"/>
    </row>
    <row r="159" spans="2:20" x14ac:dyDescent="0.5">
      <c r="B159" s="124"/>
      <c r="D159" s="124"/>
      <c r="E159" s="124"/>
      <c r="F159" s="124"/>
      <c r="G159" s="124"/>
      <c r="H159" s="124"/>
      <c r="I159" s="124"/>
      <c r="J159" s="124"/>
      <c r="K159" s="124"/>
      <c r="L159" s="124"/>
      <c r="M159" s="124"/>
      <c r="N159" s="124"/>
      <c r="O159" s="124"/>
      <c r="P159" s="124"/>
      <c r="Q159" s="124"/>
      <c r="R159" s="124"/>
      <c r="S159" s="124"/>
      <c r="T159" s="124"/>
    </row>
    <row r="160" spans="2:20" x14ac:dyDescent="0.5">
      <c r="B160" s="124"/>
      <c r="D160" s="124"/>
      <c r="E160" s="124"/>
      <c r="F160" s="124"/>
      <c r="G160" s="124"/>
      <c r="H160" s="124"/>
      <c r="I160" s="124"/>
      <c r="J160" s="124"/>
      <c r="K160" s="124"/>
      <c r="L160" s="124"/>
      <c r="M160" s="124"/>
      <c r="N160" s="124"/>
      <c r="O160" s="124"/>
      <c r="P160" s="124"/>
      <c r="Q160" s="124"/>
      <c r="R160" s="124"/>
      <c r="S160" s="124"/>
      <c r="T160" s="124"/>
    </row>
    <row r="161" spans="2:20" x14ac:dyDescent="0.5">
      <c r="B161" s="124"/>
      <c r="D161" s="124"/>
      <c r="E161" s="124"/>
      <c r="F161" s="124"/>
      <c r="G161" s="124"/>
      <c r="H161" s="124"/>
      <c r="I161" s="124"/>
      <c r="J161" s="124"/>
      <c r="K161" s="124"/>
      <c r="L161" s="124"/>
      <c r="M161" s="124"/>
      <c r="N161" s="124"/>
      <c r="O161" s="124"/>
      <c r="P161" s="124"/>
      <c r="Q161" s="124"/>
      <c r="R161" s="124"/>
      <c r="S161" s="124"/>
      <c r="T161" s="124"/>
    </row>
    <row r="162" spans="2:20" x14ac:dyDescent="0.5">
      <c r="B162" s="124"/>
      <c r="D162" s="124"/>
      <c r="E162" s="124"/>
      <c r="F162" s="124"/>
      <c r="G162" s="124"/>
      <c r="H162" s="124"/>
      <c r="I162" s="124"/>
      <c r="J162" s="124"/>
      <c r="K162" s="124"/>
      <c r="L162" s="124"/>
      <c r="M162" s="124"/>
      <c r="N162" s="124"/>
      <c r="O162" s="124"/>
      <c r="P162" s="124"/>
      <c r="Q162" s="124"/>
      <c r="R162" s="124"/>
      <c r="S162" s="124"/>
      <c r="T162" s="124"/>
    </row>
    <row r="163" spans="2:20" x14ac:dyDescent="0.5">
      <c r="B163" s="124"/>
      <c r="D163" s="124"/>
      <c r="E163" s="124"/>
      <c r="F163" s="124"/>
      <c r="G163" s="124"/>
      <c r="H163" s="124"/>
      <c r="I163" s="124"/>
      <c r="J163" s="124"/>
      <c r="K163" s="124"/>
      <c r="L163" s="124"/>
      <c r="M163" s="124"/>
      <c r="N163" s="124"/>
      <c r="O163" s="124"/>
      <c r="P163" s="124"/>
      <c r="Q163" s="124"/>
      <c r="R163" s="124"/>
      <c r="S163" s="124"/>
      <c r="T163" s="124"/>
    </row>
    <row r="164" spans="2:20" x14ac:dyDescent="0.5">
      <c r="B164" s="124"/>
      <c r="D164" s="124"/>
      <c r="E164" s="124"/>
      <c r="F164" s="124"/>
      <c r="G164" s="124"/>
      <c r="H164" s="124"/>
      <c r="I164" s="124"/>
      <c r="J164" s="124"/>
      <c r="K164" s="124"/>
      <c r="L164" s="124"/>
      <c r="M164" s="124"/>
      <c r="N164" s="124"/>
      <c r="O164" s="124"/>
      <c r="P164" s="124"/>
      <c r="Q164" s="124"/>
      <c r="R164" s="124"/>
      <c r="S164" s="124"/>
      <c r="T164" s="124"/>
    </row>
    <row r="165" spans="2:20" x14ac:dyDescent="0.5">
      <c r="B165" s="124"/>
      <c r="D165" s="124"/>
      <c r="E165" s="124"/>
      <c r="F165" s="124"/>
      <c r="G165" s="124"/>
      <c r="H165" s="124"/>
      <c r="I165" s="124"/>
      <c r="J165" s="124"/>
      <c r="K165" s="124"/>
      <c r="L165" s="124"/>
      <c r="M165" s="124"/>
      <c r="N165" s="124"/>
      <c r="O165" s="124"/>
      <c r="P165" s="124"/>
      <c r="Q165" s="124"/>
      <c r="R165" s="124"/>
      <c r="S165" s="124"/>
      <c r="T165" s="124"/>
    </row>
    <row r="166" spans="2:20" x14ac:dyDescent="0.5">
      <c r="B166" s="124"/>
      <c r="D166" s="124"/>
      <c r="E166" s="124"/>
      <c r="F166" s="124"/>
      <c r="G166" s="124"/>
      <c r="H166" s="124"/>
      <c r="I166" s="124"/>
      <c r="J166" s="124"/>
      <c r="K166" s="124"/>
      <c r="L166" s="124"/>
      <c r="M166" s="124"/>
      <c r="N166" s="124"/>
      <c r="O166" s="124"/>
      <c r="P166" s="124"/>
      <c r="Q166" s="124"/>
      <c r="R166" s="124"/>
      <c r="S166" s="124"/>
      <c r="T166" s="124"/>
    </row>
    <row r="167" spans="2:20" x14ac:dyDescent="0.5">
      <c r="B167" s="124"/>
      <c r="D167" s="124"/>
      <c r="E167" s="124"/>
      <c r="F167" s="124"/>
      <c r="G167" s="124"/>
      <c r="H167" s="124"/>
      <c r="I167" s="124"/>
      <c r="J167" s="124"/>
      <c r="K167" s="124"/>
      <c r="L167" s="124"/>
      <c r="M167" s="124"/>
      <c r="N167" s="124"/>
      <c r="O167" s="124"/>
      <c r="P167" s="124"/>
      <c r="Q167" s="124"/>
      <c r="R167" s="124"/>
      <c r="S167" s="124"/>
      <c r="T167" s="124"/>
    </row>
    <row r="168" spans="2:20" x14ac:dyDescent="0.5">
      <c r="B168" s="124"/>
      <c r="D168" s="124"/>
      <c r="E168" s="124"/>
      <c r="F168" s="124"/>
      <c r="G168" s="124"/>
      <c r="H168" s="124"/>
      <c r="I168" s="124"/>
      <c r="J168" s="124"/>
      <c r="K168" s="124"/>
      <c r="L168" s="124"/>
      <c r="M168" s="124"/>
      <c r="N168" s="124"/>
      <c r="O168" s="124"/>
      <c r="P168" s="124"/>
      <c r="Q168" s="124"/>
      <c r="R168" s="124"/>
      <c r="S168" s="124"/>
      <c r="T168" s="124"/>
    </row>
    <row r="169" spans="2:20" x14ac:dyDescent="0.5">
      <c r="B169" s="124"/>
      <c r="D169" s="124"/>
      <c r="E169" s="124"/>
      <c r="F169" s="124"/>
      <c r="G169" s="124"/>
      <c r="H169" s="124"/>
      <c r="I169" s="124"/>
      <c r="J169" s="124"/>
      <c r="K169" s="124"/>
      <c r="L169" s="124"/>
      <c r="M169" s="124"/>
      <c r="N169" s="124"/>
      <c r="O169" s="124"/>
      <c r="P169" s="124"/>
      <c r="Q169" s="124"/>
      <c r="R169" s="124"/>
      <c r="S169" s="124"/>
      <c r="T169" s="124"/>
    </row>
    <row r="170" spans="2:20" x14ac:dyDescent="0.5">
      <c r="B170" s="124"/>
      <c r="D170" s="124"/>
      <c r="E170" s="124"/>
      <c r="F170" s="124"/>
      <c r="G170" s="124"/>
      <c r="H170" s="124"/>
      <c r="I170" s="124"/>
      <c r="J170" s="124"/>
      <c r="K170" s="124"/>
      <c r="L170" s="124"/>
      <c r="M170" s="124"/>
      <c r="N170" s="124"/>
      <c r="O170" s="124"/>
      <c r="P170" s="124"/>
      <c r="Q170" s="124"/>
      <c r="R170" s="124"/>
      <c r="S170" s="124"/>
      <c r="T170" s="124"/>
    </row>
    <row r="171" spans="2:20" x14ac:dyDescent="0.5">
      <c r="B171" s="124"/>
      <c r="D171" s="124"/>
      <c r="E171" s="124"/>
      <c r="F171" s="124"/>
      <c r="G171" s="124"/>
      <c r="H171" s="124"/>
      <c r="I171" s="124"/>
      <c r="J171" s="124"/>
      <c r="K171" s="124"/>
      <c r="L171" s="124"/>
      <c r="M171" s="124"/>
      <c r="N171" s="124"/>
      <c r="O171" s="124"/>
      <c r="P171" s="124"/>
      <c r="Q171" s="124"/>
      <c r="R171" s="124"/>
      <c r="S171" s="124"/>
      <c r="T171" s="124"/>
    </row>
    <row r="172" spans="2:20" x14ac:dyDescent="0.5">
      <c r="B172" s="124"/>
      <c r="D172" s="124"/>
      <c r="E172" s="124"/>
      <c r="F172" s="124"/>
      <c r="G172" s="124"/>
      <c r="H172" s="124"/>
      <c r="I172" s="124"/>
      <c r="J172" s="124"/>
      <c r="K172" s="124"/>
      <c r="L172" s="124"/>
      <c r="M172" s="124"/>
      <c r="N172" s="124"/>
      <c r="O172" s="124"/>
      <c r="P172" s="124"/>
      <c r="Q172" s="124"/>
      <c r="R172" s="124"/>
      <c r="S172" s="124"/>
      <c r="T172" s="124"/>
    </row>
    <row r="173" spans="2:20" x14ac:dyDescent="0.5">
      <c r="B173" s="124"/>
      <c r="D173" s="124"/>
      <c r="E173" s="124"/>
      <c r="F173" s="124"/>
      <c r="G173" s="124"/>
      <c r="H173" s="124"/>
      <c r="I173" s="124"/>
      <c r="J173" s="124"/>
      <c r="K173" s="124"/>
      <c r="L173" s="124"/>
      <c r="M173" s="124"/>
      <c r="N173" s="124"/>
      <c r="O173" s="124"/>
      <c r="P173" s="124"/>
      <c r="Q173" s="124"/>
      <c r="R173" s="124"/>
      <c r="S173" s="124"/>
      <c r="T173" s="124"/>
    </row>
    <row r="174" spans="2:20" x14ac:dyDescent="0.5">
      <c r="B174" s="124"/>
      <c r="D174" s="124"/>
      <c r="E174" s="124"/>
      <c r="F174" s="124"/>
      <c r="G174" s="124"/>
      <c r="H174" s="124"/>
      <c r="I174" s="124"/>
      <c r="J174" s="124"/>
      <c r="K174" s="124"/>
      <c r="L174" s="124"/>
    </row>
    <row r="175" spans="2:20" x14ac:dyDescent="0.5">
      <c r="B175" s="124"/>
      <c r="D175" s="124"/>
      <c r="E175" s="124"/>
      <c r="F175" s="124"/>
      <c r="G175" s="124"/>
      <c r="H175" s="124"/>
      <c r="I175" s="124"/>
      <c r="J175" s="124"/>
      <c r="K175" s="124"/>
      <c r="L175" s="124"/>
    </row>
  </sheetData>
  <sheetProtection algorithmName="SHA-512" hashValue="PuddPQfDdfZI6tSEZOTgoEdMgn1EoQLkA5cS+A9FwfMW52hdUi64/37pFeiWqjpatiFeNiUMTDkxDCWjrJg6XA==" saltValue="a80w7PWoNFGxM+4YoJO7AA==" spinCount="100000" sheet="1" objects="1" scenarios="1"/>
  <dataConsolidate/>
  <mergeCells count="27">
    <mergeCell ref="C131:E131"/>
    <mergeCell ref="F131:H131"/>
    <mergeCell ref="I131:K131"/>
    <mergeCell ref="C85:E85"/>
    <mergeCell ref="F85:H85"/>
    <mergeCell ref="I85:K85"/>
    <mergeCell ref="F53:H53"/>
    <mergeCell ref="I53:K53"/>
    <mergeCell ref="C65:E65"/>
    <mergeCell ref="F65:H65"/>
    <mergeCell ref="I65:K65"/>
    <mergeCell ref="C76:E76"/>
    <mergeCell ref="F76:H76"/>
    <mergeCell ref="I76:K76"/>
    <mergeCell ref="C3:E3"/>
    <mergeCell ref="F3:H3"/>
    <mergeCell ref="I3:K3"/>
    <mergeCell ref="C20:E20"/>
    <mergeCell ref="F20:H20"/>
    <mergeCell ref="I20:K20"/>
    <mergeCell ref="C45:E45"/>
    <mergeCell ref="F45:H45"/>
    <mergeCell ref="I45:K45"/>
    <mergeCell ref="C36:E36"/>
    <mergeCell ref="F36:H36"/>
    <mergeCell ref="I36:K36"/>
    <mergeCell ref="C53:E53"/>
  </mergeCells>
  <conditionalFormatting sqref="C50:K50">
    <cfRule type="containsText" dxfId="5" priority="1" operator="containsText" text="ERROR">
      <formula>NOT(ISERROR(SEARCH("ERROR",C50)))</formula>
    </cfRule>
    <cfRule type="containsText" dxfId="4" priority="2" operator="containsText" text="OK">
      <formula>NOT(ISERROR(SEARCH("OK",C50)))</formula>
    </cfRule>
  </conditionalFormatting>
  <conditionalFormatting sqref="H139:H140">
    <cfRule type="containsText" dxfId="3" priority="5" operator="containsText" text="ERROR">
      <formula>NOT(ISERROR(SEARCH("ERROR",H139)))</formula>
    </cfRule>
    <cfRule type="containsText" dxfId="2" priority="6" operator="containsText" text="OK">
      <formula>NOT(ISERROR(SEARCH("OK",H139)))</formula>
    </cfRule>
  </conditionalFormatting>
  <dataValidations count="1">
    <dataValidation type="list" allowBlank="1" showInputMessage="1" showErrorMessage="1" sqref="B54" xr:uid="{00000000-0002-0000-0000-000000000000}">
      <formula1>Applications</formula1>
    </dataValidation>
  </dataValidation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4">
        <x14:dataValidation type="list" allowBlank="1" showInputMessage="1" showErrorMessage="1" xr:uid="{00000000-0002-0000-0000-000001000000}">
          <x14:formula1>
            <xm:f>'List of PCUs'!$A$1:$A$15</xm:f>
          </x14:formula1>
          <xm:sqref>B21</xm:sqref>
        </x14:dataValidation>
        <x14:dataValidation type="list" allowBlank="1" showInputMessage="1" showErrorMessage="1" xr:uid="{00000000-0002-0000-0000-000004000000}">
          <x14:formula1>
            <xm:f>'Grid Connection'!$B$4:$B$16</xm:f>
          </x14:formula1>
          <xm:sqref>B37</xm:sqref>
        </x14:dataValidation>
        <x14:dataValidation type="list" allowBlank="1" showInputMessage="1" showErrorMessage="1" xr:uid="{00000000-0002-0000-0000-000002000000}">
          <x14:formula1>
            <xm:f>'List of Storage Technologies'!$A$1:$A$14</xm:f>
          </x14:formula1>
          <xm:sqref>B4</xm:sqref>
        </x14:dataValidation>
        <x14:dataValidation type="list" allowBlank="1" showInputMessage="1" showErrorMessage="1" xr:uid="{00000000-0002-0000-0000-000003000000}">
          <x14:formula1>
            <xm:f>'Storage Size'!$B$4:$B$17</xm:f>
          </x14:formula1>
          <xm:sqref>B46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Tabelle26">
    <tabColor rgb="FFFFC000"/>
  </sheetPr>
  <dimension ref="A2:K66"/>
  <sheetViews>
    <sheetView topLeftCell="A37" workbookViewId="0">
      <selection activeCell="H73" sqref="H73"/>
    </sheetView>
  </sheetViews>
  <sheetFormatPr defaultColWidth="9.17578125" defaultRowHeight="14.35" x14ac:dyDescent="0.5"/>
  <cols>
    <col min="2" max="2" width="26.52734375" customWidth="1"/>
    <col min="3" max="5" width="10.64453125" customWidth="1"/>
    <col min="6" max="6" width="14.8203125" customWidth="1"/>
    <col min="7" max="7" width="10.64453125" customWidth="1"/>
    <col min="8" max="8" width="20.29296875" customWidth="1"/>
    <col min="9" max="9" width="16.8203125" customWidth="1"/>
    <col min="10" max="10" width="16.64453125" customWidth="1"/>
    <col min="11" max="15" width="12.64453125" customWidth="1"/>
    <col min="16" max="16" width="9.52734375" bestFit="1" customWidth="1"/>
  </cols>
  <sheetData>
    <row r="2" spans="2:11" ht="18.350000000000001" thickBot="1" x14ac:dyDescent="0.65">
      <c r="B2" s="1" t="s">
        <v>154</v>
      </c>
      <c r="C2" s="9"/>
      <c r="J2" s="1" t="s">
        <v>286</v>
      </c>
    </row>
    <row r="3" spans="2:11" x14ac:dyDescent="0.5">
      <c r="B3" s="4"/>
      <c r="C3" s="194" t="s">
        <v>485</v>
      </c>
      <c r="D3" s="194" t="s">
        <v>486</v>
      </c>
      <c r="E3" s="194">
        <v>2030</v>
      </c>
      <c r="F3" s="4" t="s">
        <v>59</v>
      </c>
      <c r="G3" s="3"/>
      <c r="H3" s="4" t="s">
        <v>487</v>
      </c>
      <c r="I3" s="4" t="s">
        <v>488</v>
      </c>
      <c r="J3" s="4" t="s">
        <v>290</v>
      </c>
    </row>
    <row r="4" spans="2:11" x14ac:dyDescent="0.5">
      <c r="B4" s="3" t="s">
        <v>267</v>
      </c>
      <c r="C4" s="32">
        <v>236</v>
      </c>
      <c r="D4" s="32">
        <f>MAX(C25,C32)</f>
        <v>269</v>
      </c>
      <c r="E4" s="32">
        <v>213</v>
      </c>
      <c r="F4" t="s">
        <v>268</v>
      </c>
      <c r="H4" t="s">
        <v>291</v>
      </c>
      <c r="I4" t="s">
        <v>291</v>
      </c>
      <c r="J4">
        <v>1</v>
      </c>
    </row>
    <row r="5" spans="2:11" x14ac:dyDescent="0.5">
      <c r="B5" s="3" t="s">
        <v>269</v>
      </c>
      <c r="C5" s="32">
        <v>0</v>
      </c>
      <c r="D5" s="32">
        <v>0</v>
      </c>
      <c r="E5" s="32">
        <v>0</v>
      </c>
      <c r="F5" t="s">
        <v>61</v>
      </c>
      <c r="H5">
        <v>1</v>
      </c>
      <c r="I5">
        <v>1</v>
      </c>
      <c r="J5">
        <v>1</v>
      </c>
    </row>
    <row r="6" spans="2:11" x14ac:dyDescent="0.5">
      <c r="B6" s="3" t="s">
        <v>259</v>
      </c>
      <c r="C6">
        <v>1500</v>
      </c>
      <c r="D6">
        <v>1500</v>
      </c>
      <c r="E6">
        <v>1500</v>
      </c>
      <c r="F6" t="s">
        <v>105</v>
      </c>
      <c r="G6" t="s">
        <v>47</v>
      </c>
      <c r="H6" t="s">
        <v>291</v>
      </c>
      <c r="I6" t="s">
        <v>291</v>
      </c>
      <c r="J6" t="s">
        <v>291</v>
      </c>
    </row>
    <row r="7" spans="2:11" x14ac:dyDescent="0.5">
      <c r="B7" s="3" t="s">
        <v>260</v>
      </c>
      <c r="C7">
        <v>15</v>
      </c>
      <c r="D7">
        <v>20</v>
      </c>
      <c r="E7">
        <v>17.5</v>
      </c>
      <c r="F7" t="s">
        <v>64</v>
      </c>
      <c r="H7" t="s">
        <v>291</v>
      </c>
      <c r="I7" t="s">
        <v>291</v>
      </c>
      <c r="J7" t="s">
        <v>291</v>
      </c>
    </row>
    <row r="8" spans="2:11" x14ac:dyDescent="0.5">
      <c r="B8" s="3" t="s">
        <v>255</v>
      </c>
      <c r="C8">
        <v>200</v>
      </c>
      <c r="D8">
        <v>300</v>
      </c>
      <c r="E8">
        <f>'SIB (Layered oxide)'!K5</f>
        <v>375</v>
      </c>
      <c r="H8">
        <v>6</v>
      </c>
      <c r="I8">
        <v>6</v>
      </c>
      <c r="J8" t="s">
        <v>489</v>
      </c>
    </row>
    <row r="9" spans="2:11" x14ac:dyDescent="0.5">
      <c r="B9" s="3" t="s">
        <v>65</v>
      </c>
      <c r="C9" s="32">
        <v>90</v>
      </c>
      <c r="D9" s="32">
        <v>93</v>
      </c>
      <c r="E9">
        <v>93</v>
      </c>
      <c r="F9" t="s">
        <v>66</v>
      </c>
      <c r="H9" t="s">
        <v>291</v>
      </c>
      <c r="I9" t="s">
        <v>291</v>
      </c>
      <c r="J9" t="s">
        <v>291</v>
      </c>
    </row>
    <row r="10" spans="2:11" ht="14.7" thickBot="1" x14ac:dyDescent="0.55000000000000004">
      <c r="B10" s="5" t="s">
        <v>51</v>
      </c>
      <c r="C10" s="6">
        <v>0.25</v>
      </c>
      <c r="D10" s="6">
        <v>0.25</v>
      </c>
      <c r="E10" s="6">
        <v>0.25</v>
      </c>
      <c r="F10" s="6" t="s">
        <v>74</v>
      </c>
      <c r="H10" s="6">
        <v>6</v>
      </c>
      <c r="I10" s="6">
        <v>6</v>
      </c>
      <c r="J10" s="6">
        <v>6</v>
      </c>
    </row>
    <row r="12" spans="2:11" x14ac:dyDescent="0.5">
      <c r="J12" s="2" t="s">
        <v>294</v>
      </c>
    </row>
    <row r="13" spans="2:11" ht="18.350000000000001" thickBot="1" x14ac:dyDescent="0.65">
      <c r="B13" s="1" t="s">
        <v>295</v>
      </c>
      <c r="J13" s="11" t="s">
        <v>296</v>
      </c>
    </row>
    <row r="14" spans="2:11" x14ac:dyDescent="0.5">
      <c r="B14" s="7" t="s">
        <v>297</v>
      </c>
      <c r="C14" s="7" t="s">
        <v>298</v>
      </c>
      <c r="D14" s="7" t="s">
        <v>299</v>
      </c>
      <c r="E14" s="7" t="s">
        <v>300</v>
      </c>
      <c r="F14" s="7"/>
      <c r="G14" s="46" t="s">
        <v>84</v>
      </c>
      <c r="J14" s="40" t="s">
        <v>302</v>
      </c>
      <c r="K14" s="40"/>
    </row>
    <row r="15" spans="2:11" x14ac:dyDescent="0.5">
      <c r="B15">
        <v>1</v>
      </c>
      <c r="C15" t="s">
        <v>490</v>
      </c>
      <c r="D15" t="s">
        <v>456</v>
      </c>
      <c r="E15" s="164" t="s">
        <v>457</v>
      </c>
      <c r="F15" t="s">
        <v>491</v>
      </c>
      <c r="G15" s="22" t="s">
        <v>492</v>
      </c>
    </row>
    <row r="16" spans="2:11" x14ac:dyDescent="0.5">
      <c r="B16">
        <v>2</v>
      </c>
      <c r="C16" t="s">
        <v>493</v>
      </c>
      <c r="D16" t="s">
        <v>494</v>
      </c>
      <c r="E16" s="164" t="s">
        <v>495</v>
      </c>
      <c r="F16" t="s">
        <v>427</v>
      </c>
      <c r="G16" s="22" t="s">
        <v>492</v>
      </c>
    </row>
    <row r="17" spans="1:10" x14ac:dyDescent="0.5">
      <c r="B17">
        <v>3</v>
      </c>
      <c r="C17" t="s">
        <v>496</v>
      </c>
      <c r="D17" t="s">
        <v>497</v>
      </c>
      <c r="E17" s="164" t="s">
        <v>498</v>
      </c>
      <c r="F17" s="98">
        <v>2024</v>
      </c>
      <c r="G17" s="22" t="s">
        <v>492</v>
      </c>
    </row>
    <row r="18" spans="1:10" x14ac:dyDescent="0.5">
      <c r="B18">
        <v>4</v>
      </c>
      <c r="C18" t="s">
        <v>499</v>
      </c>
      <c r="D18" t="s">
        <v>500</v>
      </c>
      <c r="E18" s="164" t="s">
        <v>501</v>
      </c>
      <c r="F18" t="s">
        <v>366</v>
      </c>
      <c r="G18" s="22" t="s">
        <v>492</v>
      </c>
    </row>
    <row r="19" spans="1:10" x14ac:dyDescent="0.5">
      <c r="B19">
        <v>5</v>
      </c>
      <c r="C19" t="s">
        <v>502</v>
      </c>
      <c r="D19" t="s">
        <v>503</v>
      </c>
      <c r="E19" s="164" t="s">
        <v>504</v>
      </c>
      <c r="F19" t="s">
        <v>505</v>
      </c>
      <c r="G19" s="22" t="s">
        <v>492</v>
      </c>
    </row>
    <row r="20" spans="1:10" x14ac:dyDescent="0.5">
      <c r="B20">
        <v>6</v>
      </c>
      <c r="C20" t="s">
        <v>506</v>
      </c>
      <c r="D20" t="s">
        <v>336</v>
      </c>
      <c r="E20" s="164" t="s">
        <v>507</v>
      </c>
      <c r="F20" s="185" t="s">
        <v>508</v>
      </c>
      <c r="G20" s="22" t="s">
        <v>492</v>
      </c>
      <c r="H20" s="99"/>
    </row>
    <row r="21" spans="1:10" x14ac:dyDescent="0.5">
      <c r="E21" s="164"/>
    </row>
    <row r="22" spans="1:10" x14ac:dyDescent="0.5">
      <c r="A22" s="68" t="s">
        <v>319</v>
      </c>
    </row>
    <row r="23" spans="1:10" ht="14.7" thickBot="1" x14ac:dyDescent="0.55000000000000004">
      <c r="A23" s="68" t="s">
        <v>320</v>
      </c>
    </row>
    <row r="24" spans="1:10" x14ac:dyDescent="0.5">
      <c r="A24" s="3" t="s">
        <v>321</v>
      </c>
      <c r="B24" s="4"/>
      <c r="C24" s="4">
        <v>2025</v>
      </c>
      <c r="D24" s="4">
        <v>2030</v>
      </c>
      <c r="E24" s="4" t="s">
        <v>59</v>
      </c>
      <c r="F24" s="4" t="s">
        <v>323</v>
      </c>
    </row>
    <row r="25" spans="1:10" x14ac:dyDescent="0.5">
      <c r="B25" s="3" t="s">
        <v>267</v>
      </c>
      <c r="C25" s="32">
        <v>269</v>
      </c>
      <c r="D25" s="32">
        <v>232</v>
      </c>
      <c r="E25" t="s">
        <v>268</v>
      </c>
      <c r="F25" s="44"/>
    </row>
    <row r="26" spans="1:10" x14ac:dyDescent="0.5">
      <c r="B26" s="3" t="s">
        <v>269</v>
      </c>
      <c r="C26" s="62"/>
      <c r="D26" s="62"/>
      <c r="E26" t="s">
        <v>61</v>
      </c>
      <c r="F26" s="44"/>
    </row>
    <row r="27" spans="1:10" x14ac:dyDescent="0.5">
      <c r="B27" s="3" t="s">
        <v>259</v>
      </c>
      <c r="C27" s="40"/>
      <c r="D27" s="40"/>
      <c r="E27" t="s">
        <v>105</v>
      </c>
      <c r="F27" s="44"/>
    </row>
    <row r="28" spans="1:10" x14ac:dyDescent="0.5">
      <c r="B28" s="3" t="s">
        <v>260</v>
      </c>
      <c r="C28" s="40"/>
      <c r="D28" s="40"/>
      <c r="E28" t="s">
        <v>64</v>
      </c>
      <c r="F28" s="44"/>
    </row>
    <row r="29" spans="1:10" ht="14.7" thickBot="1" x14ac:dyDescent="0.55000000000000004">
      <c r="B29" s="5" t="s">
        <v>65</v>
      </c>
      <c r="C29" s="69"/>
      <c r="D29" s="69"/>
      <c r="E29" s="6" t="s">
        <v>66</v>
      </c>
      <c r="F29" s="166"/>
    </row>
    <row r="30" spans="1:10" ht="14.7" thickBot="1" x14ac:dyDescent="0.55000000000000004">
      <c r="J30" s="44"/>
    </row>
    <row r="31" spans="1:10" x14ac:dyDescent="0.5">
      <c r="A31" s="3" t="s">
        <v>325</v>
      </c>
      <c r="B31" s="4"/>
      <c r="C31" s="4">
        <v>2024</v>
      </c>
    </row>
    <row r="32" spans="1:10" x14ac:dyDescent="0.5">
      <c r="B32" s="3" t="s">
        <v>267</v>
      </c>
      <c r="C32" s="32">
        <f>223*Financials!D17</f>
        <v>241.34199134199133</v>
      </c>
    </row>
    <row r="33" spans="1:3" x14ac:dyDescent="0.5">
      <c r="B33" s="3" t="s">
        <v>269</v>
      </c>
      <c r="C33" s="38"/>
    </row>
    <row r="34" spans="1:3" x14ac:dyDescent="0.5">
      <c r="B34" s="3" t="s">
        <v>259</v>
      </c>
      <c r="C34" s="39"/>
    </row>
    <row r="35" spans="1:3" x14ac:dyDescent="0.5">
      <c r="B35" s="3" t="s">
        <v>260</v>
      </c>
      <c r="C35" s="39"/>
    </row>
    <row r="36" spans="1:3" ht="14.7" thickBot="1" x14ac:dyDescent="0.55000000000000004">
      <c r="B36" s="5" t="s">
        <v>65</v>
      </c>
      <c r="C36" s="42"/>
    </row>
    <row r="37" spans="1:3" ht="14.7" thickBot="1" x14ac:dyDescent="0.55000000000000004"/>
    <row r="38" spans="1:3" x14ac:dyDescent="0.5">
      <c r="A38" s="3" t="s">
        <v>326</v>
      </c>
      <c r="B38" s="4"/>
      <c r="C38" s="4">
        <v>2023</v>
      </c>
    </row>
    <row r="39" spans="1:3" x14ac:dyDescent="0.5">
      <c r="B39" s="3" t="s">
        <v>267</v>
      </c>
      <c r="C39" s="38"/>
    </row>
    <row r="40" spans="1:3" x14ac:dyDescent="0.5">
      <c r="B40" s="3" t="s">
        <v>269</v>
      </c>
      <c r="C40" s="38"/>
    </row>
    <row r="41" spans="1:3" x14ac:dyDescent="0.5">
      <c r="B41" s="3" t="s">
        <v>259</v>
      </c>
      <c r="C41" s="181">
        <v>1500</v>
      </c>
    </row>
    <row r="42" spans="1:3" x14ac:dyDescent="0.5">
      <c r="B42" s="3" t="s">
        <v>260</v>
      </c>
      <c r="C42" s="39"/>
    </row>
    <row r="43" spans="1:3" ht="14.7" thickBot="1" x14ac:dyDescent="0.55000000000000004">
      <c r="B43" s="5" t="s">
        <v>65</v>
      </c>
      <c r="C43" s="42"/>
    </row>
    <row r="44" spans="1:3" ht="14.7" thickBot="1" x14ac:dyDescent="0.55000000000000004"/>
    <row r="45" spans="1:3" x14ac:dyDescent="0.5">
      <c r="A45" s="3" t="s">
        <v>327</v>
      </c>
      <c r="B45" s="4"/>
      <c r="C45" s="4">
        <v>2025</v>
      </c>
    </row>
    <row r="46" spans="1:3" x14ac:dyDescent="0.5">
      <c r="B46" s="3" t="s">
        <v>267</v>
      </c>
      <c r="C46" s="38"/>
    </row>
    <row r="47" spans="1:3" x14ac:dyDescent="0.5">
      <c r="B47" s="3" t="s">
        <v>269</v>
      </c>
      <c r="C47" s="38"/>
    </row>
    <row r="48" spans="1:3" x14ac:dyDescent="0.5">
      <c r="B48" s="3" t="s">
        <v>259</v>
      </c>
      <c r="C48" s="39"/>
    </row>
    <row r="49" spans="1:9" x14ac:dyDescent="0.5">
      <c r="B49" s="3" t="s">
        <v>260</v>
      </c>
      <c r="C49" s="39"/>
    </row>
    <row r="50" spans="1:9" ht="14.7" thickBot="1" x14ac:dyDescent="0.55000000000000004">
      <c r="B50" s="5" t="s">
        <v>65</v>
      </c>
      <c r="C50" s="193">
        <v>90</v>
      </c>
    </row>
    <row r="51" spans="1:9" ht="14.7" thickBot="1" x14ac:dyDescent="0.55000000000000004"/>
    <row r="52" spans="1:9" x14ac:dyDescent="0.5">
      <c r="A52" s="3" t="s">
        <v>345</v>
      </c>
      <c r="B52" s="4"/>
      <c r="C52" s="4">
        <v>2021</v>
      </c>
    </row>
    <row r="53" spans="1:9" x14ac:dyDescent="0.5">
      <c r="B53" s="3" t="s">
        <v>267</v>
      </c>
      <c r="C53" s="38"/>
    </row>
    <row r="54" spans="1:9" x14ac:dyDescent="0.5">
      <c r="B54" s="3" t="s">
        <v>269</v>
      </c>
      <c r="C54" s="38"/>
    </row>
    <row r="55" spans="1:9" x14ac:dyDescent="0.5">
      <c r="B55" s="3" t="s">
        <v>259</v>
      </c>
      <c r="C55" s="39"/>
    </row>
    <row r="56" spans="1:9" x14ac:dyDescent="0.5">
      <c r="B56" s="3" t="s">
        <v>260</v>
      </c>
      <c r="C56" s="39"/>
    </row>
    <row r="57" spans="1:9" ht="14.7" thickBot="1" x14ac:dyDescent="0.55000000000000004">
      <c r="B57" s="5" t="s">
        <v>65</v>
      </c>
      <c r="C57" s="193">
        <v>93</v>
      </c>
    </row>
    <row r="58" spans="1:9" ht="14.7" thickBot="1" x14ac:dyDescent="0.55000000000000004"/>
    <row r="59" spans="1:9" x14ac:dyDescent="0.5">
      <c r="A59" s="3" t="s">
        <v>367</v>
      </c>
      <c r="B59" s="4"/>
      <c r="C59" s="4">
        <v>2021</v>
      </c>
      <c r="D59" s="29">
        <v>2025</v>
      </c>
      <c r="E59" s="29">
        <v>2030</v>
      </c>
      <c r="F59" s="4">
        <v>2050</v>
      </c>
      <c r="G59" s="4" t="s">
        <v>59</v>
      </c>
      <c r="H59" s="170" t="s">
        <v>322</v>
      </c>
      <c r="I59" s="167" t="s">
        <v>323</v>
      </c>
    </row>
    <row r="60" spans="1:9" x14ac:dyDescent="0.5">
      <c r="A60" s="3"/>
      <c r="B60" s="3" t="s">
        <v>255</v>
      </c>
      <c r="C60" s="123" t="s">
        <v>509</v>
      </c>
      <c r="D60" s="68"/>
      <c r="E60" s="68"/>
      <c r="F60" s="123" t="s">
        <v>510</v>
      </c>
      <c r="G60" t="s">
        <v>256</v>
      </c>
      <c r="H60" s="288"/>
      <c r="I60" s="289"/>
    </row>
    <row r="61" spans="1:9" x14ac:dyDescent="0.5">
      <c r="B61" s="3" t="s">
        <v>267</v>
      </c>
      <c r="C61" s="290">
        <f>237*Financials!D16</f>
        <v>256.2162162162162</v>
      </c>
      <c r="D61" s="54">
        <f>C61*(1-H61)^(D59-C59)</f>
        <v>236.00742752525557</v>
      </c>
      <c r="E61" s="208">
        <f>197*Financials!D16</f>
        <v>212.97297297297294</v>
      </c>
      <c r="F61" s="39"/>
      <c r="G61" t="s">
        <v>268</v>
      </c>
      <c r="H61" s="168">
        <f>1-(E61/C61)^(1/(E59-C59))</f>
        <v>2.0330100571159138E-2</v>
      </c>
      <c r="I61" s="44"/>
    </row>
    <row r="62" spans="1:9" x14ac:dyDescent="0.5">
      <c r="B62" s="3" t="s">
        <v>269</v>
      </c>
      <c r="C62" s="95"/>
      <c r="D62" s="63"/>
      <c r="E62" s="63"/>
      <c r="F62" s="39"/>
      <c r="G62" t="s">
        <v>61</v>
      </c>
      <c r="H62" s="168"/>
      <c r="I62" s="44"/>
    </row>
    <row r="63" spans="1:9" x14ac:dyDescent="0.5">
      <c r="B63" s="3" t="s">
        <v>259</v>
      </c>
      <c r="C63" s="198">
        <v>1000</v>
      </c>
      <c r="D63" s="54">
        <f>C63*(1-H63)^(D59-C59)</f>
        <v>1210.7173259617307</v>
      </c>
      <c r="E63" s="54">
        <f>C63*(1-H63)^(E59-C59)</f>
        <v>1537.6100332595829</v>
      </c>
      <c r="F63" s="13">
        <v>4000</v>
      </c>
      <c r="G63" t="s">
        <v>105</v>
      </c>
      <c r="H63" s="168">
        <f>1-(F63/C63)^(1/(F59-C59))</f>
        <v>-4.89642553230345E-2</v>
      </c>
      <c r="I63" s="44"/>
    </row>
    <row r="64" spans="1:9" x14ac:dyDescent="0.5">
      <c r="B64" s="3" t="s">
        <v>260</v>
      </c>
      <c r="C64" s="13">
        <v>15</v>
      </c>
      <c r="D64" s="63"/>
      <c r="E64" s="63"/>
      <c r="F64" s="206" t="s">
        <v>511</v>
      </c>
      <c r="G64" t="s">
        <v>64</v>
      </c>
      <c r="H64" s="168"/>
      <c r="I64" s="44"/>
    </row>
    <row r="65" spans="2:9" x14ac:dyDescent="0.5">
      <c r="B65" s="3" t="s">
        <v>65</v>
      </c>
      <c r="C65" s="265" t="s">
        <v>512</v>
      </c>
      <c r="D65" s="63"/>
      <c r="E65" s="63"/>
      <c r="F65" s="206" t="s">
        <v>513</v>
      </c>
      <c r="G65" t="s">
        <v>66</v>
      </c>
      <c r="H65" s="168"/>
      <c r="I65" s="44"/>
    </row>
    <row r="66" spans="2:9" ht="14.7" thickBot="1" x14ac:dyDescent="0.55000000000000004">
      <c r="B66" s="5" t="s">
        <v>51</v>
      </c>
      <c r="C66" s="36" t="s">
        <v>514</v>
      </c>
      <c r="D66" s="42"/>
      <c r="E66" s="42"/>
      <c r="F66" s="42"/>
      <c r="G66" s="42" t="s">
        <v>74</v>
      </c>
      <c r="H66" s="266"/>
      <c r="I66" s="6"/>
    </row>
  </sheetData>
  <hyperlinks>
    <hyperlink ref="E15" r:id="rId1" xr:uid="{00000000-0004-0000-1A00-000000000000}"/>
    <hyperlink ref="E16" r:id="rId2" xr:uid="{015A9959-E38C-4971-8733-D0F75980A7D1}"/>
    <hyperlink ref="E20" r:id="rId3" xr:uid="{C441753A-044C-4F8A-9ADB-0ADFCAA0995E}"/>
    <hyperlink ref="E17" r:id="rId4" xr:uid="{0306EB4B-AEA0-4C27-92EB-309448B1AF2B}"/>
    <hyperlink ref="E18" r:id="rId5" xr:uid="{EB6A857D-EA46-4F24-8E13-40A5537E117E}"/>
    <hyperlink ref="E19" r:id="rId6" xr:uid="{1CC42112-0EA8-4727-A3EE-C5AFA597377D}"/>
  </hyperlinks>
  <pageMargins left="0.7" right="0.7" top="0.75" bottom="0.75" header="0.3" footer="0.3"/>
  <pageSetup paperSize="9" orientation="portrait" r:id="rId7"/>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Tabelle27">
    <tabColor rgb="FFFFC000"/>
  </sheetPr>
  <dimension ref="B3:L18"/>
  <sheetViews>
    <sheetView workbookViewId="0">
      <selection activeCell="G22" sqref="G22"/>
    </sheetView>
  </sheetViews>
  <sheetFormatPr defaultColWidth="11.46875" defaultRowHeight="14.35" x14ac:dyDescent="0.5"/>
  <cols>
    <col min="2" max="2" width="30.29296875" bestFit="1" customWidth="1"/>
    <col min="3" max="3" width="10.17578125" customWidth="1"/>
    <col min="4" max="4" width="10.46875" customWidth="1"/>
    <col min="5" max="5" width="10.52734375" customWidth="1"/>
    <col min="12" max="12" width="20.17578125" bestFit="1" customWidth="1"/>
  </cols>
  <sheetData>
    <row r="3" spans="2:12" x14ac:dyDescent="0.5">
      <c r="C3" s="422">
        <v>2016</v>
      </c>
      <c r="D3" s="422"/>
      <c r="E3" s="422"/>
      <c r="F3" s="425">
        <v>2025</v>
      </c>
      <c r="G3" s="425"/>
      <c r="H3" s="425"/>
      <c r="I3" s="426">
        <v>2030</v>
      </c>
      <c r="J3" s="426"/>
      <c r="K3" s="426"/>
      <c r="L3" s="105"/>
    </row>
    <row r="4" spans="2:12" ht="18.350000000000001" thickBot="1" x14ac:dyDescent="0.65">
      <c r="B4" s="104" t="s">
        <v>515</v>
      </c>
      <c r="C4" s="106" t="s">
        <v>56</v>
      </c>
      <c r="D4" s="106" t="s">
        <v>57</v>
      </c>
      <c r="E4" s="106" t="s">
        <v>58</v>
      </c>
      <c r="F4" s="106" t="s">
        <v>56</v>
      </c>
      <c r="G4" s="106" t="s">
        <v>57</v>
      </c>
      <c r="H4" s="106" t="s">
        <v>58</v>
      </c>
      <c r="I4" s="106" t="s">
        <v>56</v>
      </c>
      <c r="J4" s="106" t="s">
        <v>57</v>
      </c>
      <c r="K4" s="106" t="s">
        <v>58</v>
      </c>
      <c r="L4" s="106" t="s">
        <v>59</v>
      </c>
    </row>
    <row r="5" spans="2:12" x14ac:dyDescent="0.5">
      <c r="B5" s="18" t="s">
        <v>255</v>
      </c>
      <c r="C5" s="228" t="e">
        <f>NA()</f>
        <v>#N/A</v>
      </c>
      <c r="D5" s="229" t="e">
        <f>NA()</f>
        <v>#N/A</v>
      </c>
      <c r="E5" s="230" t="e">
        <f>NA()</f>
        <v>#N/A</v>
      </c>
      <c r="F5" s="81">
        <f>'SIB (Layered oxide) (calc)'!D8</f>
        <v>300</v>
      </c>
      <c r="G5" s="19">
        <f>'SIB (Layered oxide) (calc)'!C8</f>
        <v>200</v>
      </c>
      <c r="H5" s="20">
        <f>AVERAGE(F5,G5)</f>
        <v>250</v>
      </c>
      <c r="I5" s="81">
        <f>F5/H5*K5</f>
        <v>450</v>
      </c>
      <c r="J5" s="19">
        <v>300</v>
      </c>
      <c r="K5" s="20">
        <f>H5/G5*J5</f>
        <v>375</v>
      </c>
      <c r="L5" s="21" t="s">
        <v>256</v>
      </c>
    </row>
    <row r="6" spans="2:12" x14ac:dyDescent="0.5">
      <c r="B6" s="3" t="s">
        <v>257</v>
      </c>
      <c r="C6" s="231" t="e">
        <f>NA()</f>
        <v>#N/A</v>
      </c>
      <c r="D6" s="232" t="e">
        <f>NA()</f>
        <v>#N/A</v>
      </c>
      <c r="E6" s="230" t="e">
        <f>NA()</f>
        <v>#N/A</v>
      </c>
      <c r="F6" s="86">
        <f t="shared" ref="F6:K6" si="0">F5/F16</f>
        <v>1200</v>
      </c>
      <c r="G6" s="87">
        <f t="shared" si="0"/>
        <v>800</v>
      </c>
      <c r="H6" s="87">
        <f t="shared" si="0"/>
        <v>1000</v>
      </c>
      <c r="I6" s="86">
        <f t="shared" si="0"/>
        <v>1800</v>
      </c>
      <c r="J6" s="87">
        <f t="shared" si="0"/>
        <v>1200</v>
      </c>
      <c r="K6" s="292">
        <f t="shared" si="0"/>
        <v>1500</v>
      </c>
      <c r="L6" s="22" t="s">
        <v>258</v>
      </c>
    </row>
    <row r="7" spans="2:12" x14ac:dyDescent="0.5">
      <c r="B7" s="18" t="s">
        <v>259</v>
      </c>
      <c r="C7" s="233" t="e">
        <f>NA()</f>
        <v>#N/A</v>
      </c>
      <c r="D7" s="234" t="e">
        <f>NA()</f>
        <v>#N/A</v>
      </c>
      <c r="E7" s="227" t="e">
        <f>NA()</f>
        <v>#N/A</v>
      </c>
      <c r="F7" s="85">
        <f>'SIB (Layered oxide) (calc)'!D6</f>
        <v>1500</v>
      </c>
      <c r="G7" s="23">
        <f>'SIB (Layered oxide) (calc)'!C6</f>
        <v>1500</v>
      </c>
      <c r="H7" s="107">
        <f t="shared" ref="H7:H15" si="1">AVERAGE(F7:G7)</f>
        <v>1500</v>
      </c>
      <c r="I7" s="85">
        <f t="shared" ref="I7:I15" ca="1" si="2">IFERROR(F7*K7/H7,0)</f>
        <v>1500</v>
      </c>
      <c r="J7" s="23">
        <f t="shared" ref="J7:J15" ca="1" si="3">IFERROR(G7*K7/H7, 0)</f>
        <v>1500</v>
      </c>
      <c r="K7" s="107">
        <f ca="1">INDIRECT(ADDRESS(ROW($B6),COLUMN(E$4),1,,$B$4))</f>
        <v>1500</v>
      </c>
      <c r="L7" s="21" t="s">
        <v>105</v>
      </c>
    </row>
    <row r="8" spans="2:12" x14ac:dyDescent="0.5">
      <c r="B8" s="3" t="s">
        <v>260</v>
      </c>
      <c r="C8" s="235" t="e">
        <f>NA()</f>
        <v>#N/A</v>
      </c>
      <c r="D8" s="236" t="e">
        <f>NA()</f>
        <v>#N/A</v>
      </c>
      <c r="E8" s="227" t="e">
        <f>NA()</f>
        <v>#N/A</v>
      </c>
      <c r="F8" s="86">
        <f>'SIB (Layered oxide) (calc)'!D7</f>
        <v>20</v>
      </c>
      <c r="G8" s="87">
        <f>'SIB (Layered oxide) (calc)'!C7</f>
        <v>15</v>
      </c>
      <c r="H8" s="107">
        <f t="shared" si="1"/>
        <v>17.5</v>
      </c>
      <c r="I8" s="86">
        <f t="shared" ca="1" si="2"/>
        <v>20</v>
      </c>
      <c r="J8" s="87">
        <f t="shared" ca="1" si="3"/>
        <v>15</v>
      </c>
      <c r="K8" s="109">
        <f ca="1">INDIRECT(ADDRESS(ROW($B7),COLUMN(E$4),1,,$B$4))</f>
        <v>17.5</v>
      </c>
      <c r="L8" s="22" t="s">
        <v>64</v>
      </c>
    </row>
    <row r="9" spans="2:12" x14ac:dyDescent="0.5">
      <c r="B9" s="18" t="s">
        <v>81</v>
      </c>
      <c r="C9" s="233" t="e">
        <f>NA()</f>
        <v>#N/A</v>
      </c>
      <c r="D9" s="234" t="e">
        <f>NA()</f>
        <v>#N/A</v>
      </c>
      <c r="E9" s="227" t="e">
        <f>NA()</f>
        <v>#N/A</v>
      </c>
      <c r="F9" s="85">
        <f>'Li-Ion (LFP)'!F9</f>
        <v>100</v>
      </c>
      <c r="G9" s="23">
        <f>'Li-Ion (LFP)'!G9</f>
        <v>84</v>
      </c>
      <c r="H9" s="226">
        <f>'Li-Ion (LFP)'!H9</f>
        <v>90</v>
      </c>
      <c r="I9" s="85">
        <f>IFERROR(F9*K9/H9,0)</f>
        <v>100</v>
      </c>
      <c r="J9" s="23">
        <f t="shared" si="3"/>
        <v>84</v>
      </c>
      <c r="K9" s="24">
        <f>H9</f>
        <v>90</v>
      </c>
      <c r="L9" s="21" t="s">
        <v>66</v>
      </c>
    </row>
    <row r="10" spans="2:12" x14ac:dyDescent="0.5">
      <c r="B10" s="3" t="s">
        <v>65</v>
      </c>
      <c r="C10" s="235" t="e">
        <f>NA()</f>
        <v>#N/A</v>
      </c>
      <c r="D10" s="236" t="e">
        <f>NA()</f>
        <v>#N/A</v>
      </c>
      <c r="E10" s="227" t="e">
        <f>NA()</f>
        <v>#N/A</v>
      </c>
      <c r="F10" s="86">
        <f>'SIB (Layered oxide) (calc)'!D9</f>
        <v>93</v>
      </c>
      <c r="G10" s="87">
        <f>'SIB (Layered oxide) (calc)'!C9</f>
        <v>90</v>
      </c>
      <c r="H10" s="107">
        <f t="shared" si="1"/>
        <v>91.5</v>
      </c>
      <c r="I10" s="86">
        <f>IFERROR(F10*K10/H10,0)</f>
        <v>93</v>
      </c>
      <c r="J10" s="87">
        <f t="shared" si="3"/>
        <v>90</v>
      </c>
      <c r="K10" s="109">
        <f>H10</f>
        <v>91.5</v>
      </c>
      <c r="L10" s="22" t="s">
        <v>66</v>
      </c>
    </row>
    <row r="11" spans="2:12" x14ac:dyDescent="0.5">
      <c r="B11" s="18" t="s">
        <v>137</v>
      </c>
      <c r="C11" s="228" t="e">
        <f>NA()</f>
        <v>#N/A</v>
      </c>
      <c r="D11" s="229" t="e">
        <f>NA()</f>
        <v>#N/A</v>
      </c>
      <c r="E11" s="230" t="e">
        <f>NA()</f>
        <v>#N/A</v>
      </c>
      <c r="F11" s="85">
        <v>0</v>
      </c>
      <c r="G11" s="23">
        <v>0</v>
      </c>
      <c r="H11" s="24">
        <v>0</v>
      </c>
      <c r="I11" s="85">
        <f t="shared" si="2"/>
        <v>0</v>
      </c>
      <c r="J11" s="23">
        <f t="shared" si="3"/>
        <v>0</v>
      </c>
      <c r="K11" s="24">
        <f>H11</f>
        <v>0</v>
      </c>
      <c r="L11" s="21" t="s">
        <v>261</v>
      </c>
    </row>
    <row r="12" spans="2:12" x14ac:dyDescent="0.5">
      <c r="B12" s="28" t="s">
        <v>262</v>
      </c>
      <c r="C12" s="231" t="e">
        <f>NA()</f>
        <v>#N/A</v>
      </c>
      <c r="D12" s="232" t="e">
        <f>NA()</f>
        <v>#N/A</v>
      </c>
      <c r="E12" s="230" t="e">
        <f>NA()</f>
        <v>#N/A</v>
      </c>
      <c r="F12" s="82">
        <f>'Li-Ion (Titanate)'!F12</f>
        <v>3.0000000000000001E-3</v>
      </c>
      <c r="G12" s="83">
        <f>'Li-Ion (Titanate)'!G12</f>
        <v>1</v>
      </c>
      <c r="H12" s="20">
        <f>'Li-Ion (Titanate)'!H12</f>
        <v>0.01</v>
      </c>
      <c r="I12" s="82">
        <f>'Li-Ion (Titanate)'!I12</f>
        <v>3.0000000000000001E-3</v>
      </c>
      <c r="J12" s="83">
        <f>'Li-Ion (Titanate)'!J12</f>
        <v>1</v>
      </c>
      <c r="K12" s="84">
        <f>'Li-Ion (Titanate)'!K12</f>
        <v>0.01</v>
      </c>
      <c r="L12" s="88" t="s">
        <v>265</v>
      </c>
    </row>
    <row r="13" spans="2:12" x14ac:dyDescent="0.5">
      <c r="B13" s="89" t="s">
        <v>266</v>
      </c>
      <c r="C13" s="237" t="e">
        <f>NA()</f>
        <v>#N/A</v>
      </c>
      <c r="D13" s="238" t="e">
        <f>NA()</f>
        <v>#N/A</v>
      </c>
      <c r="E13" s="227" t="e">
        <f>NA()</f>
        <v>#N/A</v>
      </c>
      <c r="F13" s="90">
        <f>'Overview 2016 (in)'!J46</f>
        <v>0</v>
      </c>
      <c r="G13" s="25">
        <f>'Overview 2016 (in)'!K46</f>
        <v>0</v>
      </c>
      <c r="H13" s="107" t="s">
        <v>83</v>
      </c>
      <c r="I13" s="90">
        <f t="shared" si="2"/>
        <v>0</v>
      </c>
      <c r="J13" s="25">
        <f t="shared" si="3"/>
        <v>0</v>
      </c>
      <c r="K13" s="26" t="str">
        <f>H13</f>
        <v>-</v>
      </c>
      <c r="L13" s="21" t="s">
        <v>64</v>
      </c>
    </row>
    <row r="14" spans="2:12" x14ac:dyDescent="0.5">
      <c r="B14" s="28" t="s">
        <v>267</v>
      </c>
      <c r="C14" s="235" t="e">
        <f>NA()</f>
        <v>#N/A</v>
      </c>
      <c r="D14" s="236" t="e">
        <f>NA()</f>
        <v>#N/A</v>
      </c>
      <c r="E14" s="227" t="e">
        <f>NA()</f>
        <v>#N/A</v>
      </c>
      <c r="F14" s="86">
        <f>'SIB (Layered oxide) (calc)'!D4</f>
        <v>269</v>
      </c>
      <c r="G14" s="87">
        <f>'SIB (Layered oxide) (calc)'!C4</f>
        <v>236</v>
      </c>
      <c r="H14" s="107">
        <f>AVERAGE(F14:G14)</f>
        <v>252.5</v>
      </c>
      <c r="I14" s="86">
        <f ca="1">IFERROR(F14*K14/H14,0)</f>
        <v>226.91881188118811</v>
      </c>
      <c r="J14" s="87">
        <f ca="1">IFERROR(G14*K14/H14, 0)</f>
        <v>199.08118811881189</v>
      </c>
      <c r="K14" s="108">
        <f ca="1">IF(CELL("format",INDIRECT(ADDRESS(ROW($B4),COLUMN(E$4),1,,$B$4)))="W0-",INDIRECT(ADDRESS(ROW($B4),COLUMN(E$4),1,,$B$4))*'Overview 2016 (in)'!$O$7,INDIRECT(ADDRESS(ROW($B4),COLUMN(E$4),1,,$B$4)))</f>
        <v>213</v>
      </c>
      <c r="L14" s="88" t="s">
        <v>268</v>
      </c>
    </row>
    <row r="15" spans="2:12" x14ac:dyDescent="0.5">
      <c r="B15" s="89" t="s">
        <v>269</v>
      </c>
      <c r="C15" s="234" t="e">
        <f>NA()</f>
        <v>#N/A</v>
      </c>
      <c r="D15" s="234" t="e">
        <f>NA()</f>
        <v>#N/A</v>
      </c>
      <c r="E15" s="227" t="e">
        <f>NA()</f>
        <v>#N/A</v>
      </c>
      <c r="F15" s="23">
        <f>'Overview 2016 (in)'!J48</f>
        <v>0</v>
      </c>
      <c r="G15" s="23">
        <f>'Overview 2016 (in)'!K48</f>
        <v>0</v>
      </c>
      <c r="H15" s="24">
        <f t="shared" si="1"/>
        <v>0</v>
      </c>
      <c r="I15" s="23">
        <f t="shared" ca="1" si="2"/>
        <v>0</v>
      </c>
      <c r="J15" s="23">
        <f t="shared" ca="1" si="3"/>
        <v>0</v>
      </c>
      <c r="K15" s="107">
        <f ca="1">IF(CELL("format",INDIRECT(ADDRESS(ROW($B5),COLUMN(E$4),1,,$B$4)))="W0-",INDIRECT(ADDRESS(ROW($B5),COLUMN(E$4),1,,$B$4))*'Overview 2016 (in)'!$O$7,INDIRECT(ADDRESS(ROW($B5),COLUMN(E$4),1,,$B$4)))</f>
        <v>0</v>
      </c>
      <c r="L15" s="21" t="s">
        <v>61</v>
      </c>
    </row>
    <row r="16" spans="2:12" ht="14.7" thickBot="1" x14ac:dyDescent="0.55000000000000004">
      <c r="B16" s="245" t="s">
        <v>51</v>
      </c>
      <c r="C16" s="267" t="e">
        <f>NA()</f>
        <v>#N/A</v>
      </c>
      <c r="D16" s="239" t="e">
        <f>NA()</f>
        <v>#N/A</v>
      </c>
      <c r="E16" s="240" t="e">
        <f>NA()</f>
        <v>#N/A</v>
      </c>
      <c r="F16" s="247">
        <f>'SIB (Layered oxide) (calc)'!D10</f>
        <v>0.25</v>
      </c>
      <c r="G16" s="247">
        <f>'SIB (Layered oxide) (calc)'!C10</f>
        <v>0.25</v>
      </c>
      <c r="H16" s="246">
        <f>AVERAGE(F16:G16)</f>
        <v>0.25</v>
      </c>
      <c r="I16" s="247">
        <f>F16</f>
        <v>0.25</v>
      </c>
      <c r="J16" s="247">
        <f>G16</f>
        <v>0.25</v>
      </c>
      <c r="K16" s="246">
        <f>H16</f>
        <v>0.25</v>
      </c>
      <c r="L16" s="135" t="s">
        <v>74</v>
      </c>
    </row>
    <row r="17" spans="2:6" x14ac:dyDescent="0.5">
      <c r="F17" s="111"/>
    </row>
    <row r="18" spans="2:6" ht="18" x14ac:dyDescent="0.6">
      <c r="B18" s="1"/>
      <c r="C18" s="1"/>
      <c r="D18" s="1"/>
      <c r="E18" s="1"/>
    </row>
  </sheetData>
  <mergeCells count="3">
    <mergeCell ref="F3:H3"/>
    <mergeCell ref="I3:K3"/>
    <mergeCell ref="C3:E3"/>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Tabelle30">
    <tabColor rgb="FFFFC000"/>
  </sheetPr>
  <dimension ref="A2:L86"/>
  <sheetViews>
    <sheetView workbookViewId="0">
      <selection activeCell="K54" sqref="K54"/>
    </sheetView>
  </sheetViews>
  <sheetFormatPr defaultColWidth="9.17578125" defaultRowHeight="14.35" x14ac:dyDescent="0.5"/>
  <cols>
    <col min="2" max="2" width="26.52734375" customWidth="1"/>
    <col min="3" max="8" width="10.64453125" customWidth="1"/>
    <col min="9" max="9" width="13.29296875" customWidth="1"/>
    <col min="10" max="10" width="17" customWidth="1"/>
    <col min="11" max="11" width="16.64453125" customWidth="1"/>
    <col min="12" max="16" width="12.64453125" customWidth="1"/>
    <col min="17" max="17" width="9.52734375" bestFit="1" customWidth="1"/>
  </cols>
  <sheetData>
    <row r="2" spans="2:12" ht="18.350000000000001" thickBot="1" x14ac:dyDescent="0.65">
      <c r="B2" s="1" t="s">
        <v>245</v>
      </c>
      <c r="C2" s="9"/>
      <c r="K2" s="1" t="s">
        <v>286</v>
      </c>
    </row>
    <row r="3" spans="2:12" x14ac:dyDescent="0.5">
      <c r="B3" s="4"/>
      <c r="C3" s="4" t="s">
        <v>516</v>
      </c>
      <c r="D3" s="29" t="s">
        <v>517</v>
      </c>
      <c r="E3" s="29">
        <v>2030</v>
      </c>
      <c r="F3" s="4" t="s">
        <v>59</v>
      </c>
      <c r="H3" s="3"/>
      <c r="I3" s="4" t="s">
        <v>487</v>
      </c>
      <c r="J3" s="4" t="s">
        <v>488</v>
      </c>
      <c r="K3" s="4" t="s">
        <v>290</v>
      </c>
    </row>
    <row r="4" spans="2:12" x14ac:dyDescent="0.5">
      <c r="B4" s="3" t="s">
        <v>267</v>
      </c>
      <c r="C4" s="32">
        <v>205</v>
      </c>
      <c r="D4" s="32">
        <v>353</v>
      </c>
      <c r="E4" s="32">
        <v>153</v>
      </c>
      <c r="F4" t="s">
        <v>268</v>
      </c>
      <c r="I4">
        <v>1</v>
      </c>
      <c r="J4">
        <v>1</v>
      </c>
      <c r="K4">
        <v>1</v>
      </c>
    </row>
    <row r="5" spans="2:12" x14ac:dyDescent="0.5">
      <c r="B5" s="3" t="s">
        <v>269</v>
      </c>
      <c r="C5" s="32">
        <f>'Overview 2016 (in)'!L48</f>
        <v>0</v>
      </c>
      <c r="D5" s="32">
        <v>0</v>
      </c>
      <c r="E5" s="32">
        <v>0</v>
      </c>
      <c r="F5" t="s">
        <v>61</v>
      </c>
    </row>
    <row r="6" spans="2:12" x14ac:dyDescent="0.5">
      <c r="B6" s="3" t="s">
        <v>259</v>
      </c>
      <c r="C6" s="32">
        <v>856</v>
      </c>
      <c r="D6" s="32">
        <v>10000</v>
      </c>
      <c r="E6" s="32">
        <f>AVERAGE(C6,D6)</f>
        <v>5428</v>
      </c>
      <c r="F6" t="s">
        <v>105</v>
      </c>
      <c r="I6" t="s">
        <v>291</v>
      </c>
      <c r="J6" t="s">
        <v>291</v>
      </c>
      <c r="K6" t="s">
        <v>291</v>
      </c>
    </row>
    <row r="7" spans="2:12" x14ac:dyDescent="0.5">
      <c r="B7" s="3" t="s">
        <v>260</v>
      </c>
      <c r="C7" s="32">
        <f>20*0.5</f>
        <v>10</v>
      </c>
      <c r="D7" s="32">
        <v>20</v>
      </c>
      <c r="E7" s="32">
        <v>20</v>
      </c>
      <c r="F7" t="s">
        <v>64</v>
      </c>
      <c r="I7">
        <v>4</v>
      </c>
      <c r="J7">
        <v>4</v>
      </c>
      <c r="K7">
        <v>4</v>
      </c>
    </row>
    <row r="8" spans="2:12" x14ac:dyDescent="0.5">
      <c r="B8" s="3" t="s">
        <v>81</v>
      </c>
      <c r="C8" s="32">
        <v>5</v>
      </c>
      <c r="D8" s="32">
        <v>50</v>
      </c>
      <c r="E8" s="32">
        <v>50</v>
      </c>
      <c r="I8">
        <v>8</v>
      </c>
      <c r="J8">
        <v>7</v>
      </c>
      <c r="K8" t="s">
        <v>518</v>
      </c>
    </row>
    <row r="9" spans="2:12" x14ac:dyDescent="0.5">
      <c r="B9" s="3" t="s">
        <v>255</v>
      </c>
      <c r="C9" s="32">
        <v>40</v>
      </c>
      <c r="D9" s="32">
        <v>100</v>
      </c>
      <c r="E9" s="32">
        <f>'ZnBr (Zinc ion)'!K5</f>
        <v>140</v>
      </c>
      <c r="F9" t="s">
        <v>256</v>
      </c>
      <c r="I9">
        <v>5</v>
      </c>
      <c r="J9">
        <v>5</v>
      </c>
      <c r="K9" t="s">
        <v>519</v>
      </c>
    </row>
    <row r="10" spans="2:12" x14ac:dyDescent="0.5">
      <c r="B10" s="3" t="s">
        <v>65</v>
      </c>
      <c r="C10" s="32">
        <v>70</v>
      </c>
      <c r="D10" s="32">
        <v>80</v>
      </c>
      <c r="E10" s="32">
        <v>90</v>
      </c>
      <c r="F10" t="s">
        <v>66</v>
      </c>
      <c r="I10">
        <v>8</v>
      </c>
      <c r="J10">
        <v>7</v>
      </c>
      <c r="K10">
        <v>5</v>
      </c>
    </row>
    <row r="11" spans="2:12" x14ac:dyDescent="0.5">
      <c r="B11" s="3" t="s">
        <v>331</v>
      </c>
      <c r="C11">
        <v>0.8</v>
      </c>
      <c r="D11">
        <v>0.8</v>
      </c>
      <c r="E11">
        <v>0.6</v>
      </c>
      <c r="F11" t="s">
        <v>74</v>
      </c>
      <c r="I11">
        <v>5</v>
      </c>
      <c r="J11">
        <v>5</v>
      </c>
      <c r="K11">
        <v>5</v>
      </c>
    </row>
    <row r="12" spans="2:12" ht="14.7" thickBot="1" x14ac:dyDescent="0.55000000000000004">
      <c r="B12" s="5" t="s">
        <v>334</v>
      </c>
      <c r="C12" s="6">
        <v>16.5</v>
      </c>
      <c r="D12" s="6">
        <v>16.5</v>
      </c>
      <c r="E12" s="6">
        <v>13</v>
      </c>
      <c r="F12" s="6" t="s">
        <v>74</v>
      </c>
      <c r="I12" s="6">
        <v>5</v>
      </c>
      <c r="J12" s="6">
        <v>5</v>
      </c>
      <c r="K12" s="6">
        <v>5</v>
      </c>
    </row>
    <row r="14" spans="2:12" x14ac:dyDescent="0.5">
      <c r="K14" s="2" t="s">
        <v>294</v>
      </c>
    </row>
    <row r="15" spans="2:12" ht="18.350000000000001" thickBot="1" x14ac:dyDescent="0.65">
      <c r="B15" s="1" t="s">
        <v>295</v>
      </c>
      <c r="K15" s="11" t="s">
        <v>296</v>
      </c>
    </row>
    <row r="16" spans="2:12" x14ac:dyDescent="0.5">
      <c r="B16" s="7" t="s">
        <v>297</v>
      </c>
      <c r="C16" s="7" t="s">
        <v>298</v>
      </c>
      <c r="D16" s="7" t="s">
        <v>299</v>
      </c>
      <c r="E16" s="7" t="s">
        <v>300</v>
      </c>
      <c r="F16" s="46" t="s">
        <v>301</v>
      </c>
      <c r="G16" s="7"/>
      <c r="H16" s="46" t="s">
        <v>84</v>
      </c>
      <c r="K16" s="40" t="s">
        <v>302</v>
      </c>
      <c r="L16" s="40"/>
    </row>
    <row r="17" spans="1:8" x14ac:dyDescent="0.5">
      <c r="B17">
        <v>1</v>
      </c>
      <c r="C17" t="s">
        <v>520</v>
      </c>
      <c r="D17" t="s">
        <v>521</v>
      </c>
      <c r="E17" s="164" t="s">
        <v>522</v>
      </c>
      <c r="F17" s="185" t="s">
        <v>478</v>
      </c>
      <c r="H17" s="99" t="s">
        <v>523</v>
      </c>
    </row>
    <row r="18" spans="1:8" x14ac:dyDescent="0.5">
      <c r="B18">
        <v>2</v>
      </c>
      <c r="C18" t="s">
        <v>524</v>
      </c>
      <c r="D18" t="s">
        <v>525</v>
      </c>
      <c r="E18" s="164" t="s">
        <v>526</v>
      </c>
      <c r="F18" s="185" t="s">
        <v>527</v>
      </c>
      <c r="H18" s="99" t="s">
        <v>523</v>
      </c>
    </row>
    <row r="19" spans="1:8" x14ac:dyDescent="0.5">
      <c r="B19">
        <v>3</v>
      </c>
      <c r="C19" t="s">
        <v>528</v>
      </c>
      <c r="D19" t="s">
        <v>529</v>
      </c>
      <c r="E19" s="164" t="s">
        <v>530</v>
      </c>
      <c r="F19" s="185" t="s">
        <v>531</v>
      </c>
      <c r="H19" s="99" t="s">
        <v>523</v>
      </c>
    </row>
    <row r="20" spans="1:8" x14ac:dyDescent="0.5">
      <c r="B20">
        <v>4</v>
      </c>
      <c r="C20" t="s">
        <v>532</v>
      </c>
      <c r="E20" s="164" t="s">
        <v>533</v>
      </c>
      <c r="F20" s="185" t="s">
        <v>534</v>
      </c>
      <c r="H20" s="99" t="s">
        <v>523</v>
      </c>
    </row>
    <row r="21" spans="1:8" x14ac:dyDescent="0.5">
      <c r="B21">
        <v>5</v>
      </c>
      <c r="C21" t="s">
        <v>506</v>
      </c>
      <c r="D21" t="s">
        <v>336</v>
      </c>
      <c r="E21" s="164" t="s">
        <v>507</v>
      </c>
      <c r="F21" s="185" t="s">
        <v>508</v>
      </c>
      <c r="H21" s="99" t="s">
        <v>523</v>
      </c>
    </row>
    <row r="22" spans="1:8" x14ac:dyDescent="0.5">
      <c r="B22">
        <v>6</v>
      </c>
      <c r="C22" t="s">
        <v>315</v>
      </c>
      <c r="D22" t="s">
        <v>316</v>
      </c>
      <c r="E22" s="207" t="s">
        <v>317</v>
      </c>
      <c r="F22" s="45" t="s">
        <v>318</v>
      </c>
      <c r="H22" s="99" t="s">
        <v>523</v>
      </c>
    </row>
    <row r="23" spans="1:8" x14ac:dyDescent="0.5">
      <c r="B23">
        <v>7</v>
      </c>
      <c r="C23" t="s">
        <v>535</v>
      </c>
      <c r="D23" t="s">
        <v>536</v>
      </c>
      <c r="E23" s="164" t="s">
        <v>537</v>
      </c>
      <c r="F23" s="250" t="s">
        <v>538</v>
      </c>
      <c r="H23" s="99" t="s">
        <v>523</v>
      </c>
    </row>
    <row r="24" spans="1:8" x14ac:dyDescent="0.5">
      <c r="B24">
        <v>8</v>
      </c>
      <c r="C24" t="s">
        <v>539</v>
      </c>
      <c r="D24" t="s">
        <v>540</v>
      </c>
      <c r="E24" s="164" t="s">
        <v>541</v>
      </c>
      <c r="F24" s="250" t="s">
        <v>542</v>
      </c>
      <c r="H24" s="99" t="s">
        <v>523</v>
      </c>
    </row>
    <row r="25" spans="1:8" x14ac:dyDescent="0.5">
      <c r="B25">
        <v>9</v>
      </c>
      <c r="C25" t="s">
        <v>543</v>
      </c>
      <c r="D25" t="s">
        <v>544</v>
      </c>
      <c r="E25" s="164" t="s">
        <v>545</v>
      </c>
      <c r="F25" s="250" t="s">
        <v>402</v>
      </c>
      <c r="H25" s="99" t="s">
        <v>523</v>
      </c>
    </row>
    <row r="26" spans="1:8" x14ac:dyDescent="0.5">
      <c r="E26" s="164"/>
      <c r="F26" s="185"/>
    </row>
    <row r="27" spans="1:8" x14ac:dyDescent="0.5">
      <c r="A27" s="68" t="s">
        <v>319</v>
      </c>
    </row>
    <row r="28" spans="1:8" x14ac:dyDescent="0.5">
      <c r="A28" s="68" t="s">
        <v>320</v>
      </c>
    </row>
    <row r="29" spans="1:8" ht="14.7" thickBot="1" x14ac:dyDescent="0.55000000000000004"/>
    <row r="30" spans="1:8" x14ac:dyDescent="0.5">
      <c r="A30" s="3" t="s">
        <v>321</v>
      </c>
      <c r="B30" s="4"/>
      <c r="C30" s="4">
        <v>2022</v>
      </c>
    </row>
    <row r="31" spans="1:8" x14ac:dyDescent="0.5">
      <c r="B31" s="3" t="s">
        <v>267</v>
      </c>
      <c r="C31" s="92">
        <v>153</v>
      </c>
    </row>
    <row r="32" spans="1:8" x14ac:dyDescent="0.5">
      <c r="B32" s="3" t="s">
        <v>269</v>
      </c>
      <c r="C32" s="95"/>
    </row>
    <row r="33" spans="1:3" x14ac:dyDescent="0.5">
      <c r="B33" s="3" t="s">
        <v>259</v>
      </c>
      <c r="C33" s="95"/>
    </row>
    <row r="34" spans="1:3" x14ac:dyDescent="0.5">
      <c r="B34" s="3" t="s">
        <v>260</v>
      </c>
      <c r="C34" s="95"/>
    </row>
    <row r="35" spans="1:3" ht="14.7" thickBot="1" x14ac:dyDescent="0.55000000000000004">
      <c r="B35" s="5" t="s">
        <v>65</v>
      </c>
      <c r="C35" s="93">
        <v>87</v>
      </c>
    </row>
    <row r="36" spans="1:3" ht="14.7" thickBot="1" x14ac:dyDescent="0.55000000000000004"/>
    <row r="37" spans="1:3" x14ac:dyDescent="0.5">
      <c r="A37" s="3" t="s">
        <v>325</v>
      </c>
      <c r="B37" s="4"/>
      <c r="C37" s="4">
        <v>2024</v>
      </c>
    </row>
    <row r="38" spans="1:3" x14ac:dyDescent="0.5">
      <c r="B38" s="3" t="s">
        <v>267</v>
      </c>
      <c r="C38" s="95"/>
    </row>
    <row r="39" spans="1:3" x14ac:dyDescent="0.5">
      <c r="B39" s="3" t="s">
        <v>269</v>
      </c>
      <c r="C39" s="95"/>
    </row>
    <row r="40" spans="1:3" x14ac:dyDescent="0.5">
      <c r="B40" s="3" t="s">
        <v>259</v>
      </c>
      <c r="C40" s="92">
        <v>10000</v>
      </c>
    </row>
    <row r="41" spans="1:3" x14ac:dyDescent="0.5">
      <c r="B41" s="3" t="s">
        <v>260</v>
      </c>
      <c r="C41" s="95"/>
    </row>
    <row r="42" spans="1:3" ht="14.7" thickBot="1" x14ac:dyDescent="0.55000000000000004">
      <c r="B42" s="5" t="s">
        <v>65</v>
      </c>
      <c r="C42" s="173"/>
    </row>
    <row r="43" spans="1:3" ht="14.7" thickBot="1" x14ac:dyDescent="0.55000000000000004"/>
    <row r="44" spans="1:3" x14ac:dyDescent="0.5">
      <c r="A44" s="3" t="s">
        <v>326</v>
      </c>
      <c r="B44" s="4"/>
      <c r="C44" s="4">
        <v>2025</v>
      </c>
    </row>
    <row r="45" spans="1:3" x14ac:dyDescent="0.5">
      <c r="B45" s="3" t="s">
        <v>267</v>
      </c>
      <c r="C45" s="95"/>
    </row>
    <row r="46" spans="1:3" x14ac:dyDescent="0.5">
      <c r="B46" s="3" t="s">
        <v>269</v>
      </c>
      <c r="C46" s="95"/>
    </row>
    <row r="47" spans="1:3" x14ac:dyDescent="0.5">
      <c r="B47" s="3" t="s">
        <v>259</v>
      </c>
      <c r="C47" s="92">
        <v>5000</v>
      </c>
    </row>
    <row r="48" spans="1:3" x14ac:dyDescent="0.5">
      <c r="B48" s="3" t="s">
        <v>260</v>
      </c>
      <c r="C48" s="40"/>
    </row>
    <row r="49" spans="1:9" ht="14.7" thickBot="1" x14ac:dyDescent="0.55000000000000004">
      <c r="B49" s="5" t="s">
        <v>65</v>
      </c>
      <c r="C49" s="173"/>
    </row>
    <row r="50" spans="1:9" ht="14.7" thickBot="1" x14ac:dyDescent="0.55000000000000004"/>
    <row r="51" spans="1:9" x14ac:dyDescent="0.5">
      <c r="A51" s="3" t="s">
        <v>327</v>
      </c>
      <c r="B51" s="4"/>
      <c r="C51" s="4">
        <v>2023</v>
      </c>
    </row>
    <row r="52" spans="1:9" x14ac:dyDescent="0.5">
      <c r="B52" s="3" t="s">
        <v>267</v>
      </c>
      <c r="C52" s="95"/>
    </row>
    <row r="53" spans="1:9" x14ac:dyDescent="0.5">
      <c r="B53" s="3" t="s">
        <v>269</v>
      </c>
      <c r="C53" s="95"/>
    </row>
    <row r="54" spans="1:9" x14ac:dyDescent="0.5">
      <c r="B54" s="3" t="s">
        <v>259</v>
      </c>
      <c r="C54" s="92">
        <v>6000</v>
      </c>
    </row>
    <row r="55" spans="1:9" x14ac:dyDescent="0.5">
      <c r="B55" s="3" t="s">
        <v>260</v>
      </c>
      <c r="C55">
        <v>20</v>
      </c>
    </row>
    <row r="56" spans="1:9" ht="14.7" thickBot="1" x14ac:dyDescent="0.55000000000000004">
      <c r="B56" s="5" t="s">
        <v>65</v>
      </c>
      <c r="C56" s="93">
        <v>85</v>
      </c>
    </row>
    <row r="57" spans="1:9" ht="14.7" thickBot="1" x14ac:dyDescent="0.55000000000000004"/>
    <row r="58" spans="1:9" x14ac:dyDescent="0.5">
      <c r="A58" s="3" t="s">
        <v>345</v>
      </c>
      <c r="B58" s="4"/>
      <c r="C58" s="4">
        <v>2021</v>
      </c>
      <c r="D58" s="29">
        <v>2025</v>
      </c>
      <c r="E58" s="29">
        <v>2030</v>
      </c>
      <c r="F58" s="4">
        <v>2050</v>
      </c>
      <c r="G58" s="4" t="s">
        <v>59</v>
      </c>
      <c r="H58" s="170" t="s">
        <v>322</v>
      </c>
      <c r="I58" s="167" t="s">
        <v>323</v>
      </c>
    </row>
    <row r="59" spans="1:9" x14ac:dyDescent="0.5">
      <c r="A59" s="3"/>
      <c r="B59" s="3" t="s">
        <v>546</v>
      </c>
      <c r="C59" s="291" t="s">
        <v>547</v>
      </c>
      <c r="D59" s="68"/>
      <c r="E59" s="68"/>
      <c r="F59" s="291" t="s">
        <v>548</v>
      </c>
      <c r="G59" t="s">
        <v>256</v>
      </c>
      <c r="H59" s="288"/>
      <c r="I59" s="289"/>
    </row>
    <row r="60" spans="1:9" x14ac:dyDescent="0.5">
      <c r="B60" s="3" t="s">
        <v>267</v>
      </c>
      <c r="C60" s="198">
        <f>342*Financials!D16</f>
        <v>369.72972972972968</v>
      </c>
      <c r="D60" s="54">
        <f>C60*(1-H60)^(D58-C58)</f>
        <v>352.93014586639805</v>
      </c>
      <c r="E60" s="208">
        <v>333</v>
      </c>
      <c r="F60" s="39"/>
      <c r="G60" t="s">
        <v>268</v>
      </c>
      <c r="H60" s="168">
        <f>1-(E60/C60)^(1/(E58-C58))</f>
        <v>1.1558216675047972E-2</v>
      </c>
      <c r="I60" s="44"/>
    </row>
    <row r="61" spans="1:9" x14ac:dyDescent="0.5">
      <c r="B61" s="3" t="s">
        <v>269</v>
      </c>
      <c r="C61" s="95"/>
      <c r="D61" s="63"/>
      <c r="E61" s="63"/>
      <c r="F61" s="39"/>
      <c r="G61" t="s">
        <v>61</v>
      </c>
      <c r="H61" s="168"/>
      <c r="I61" s="44"/>
    </row>
    <row r="62" spans="1:9" x14ac:dyDescent="0.5">
      <c r="B62" s="3" t="s">
        <v>259</v>
      </c>
      <c r="C62" s="198">
        <v>700</v>
      </c>
      <c r="D62" s="54">
        <f>C62*(1-H62)^(D58-C58)</f>
        <v>855.60567375752328</v>
      </c>
      <c r="E62" s="54">
        <f>C62*(1-H62)^(E58-C58)</f>
        <v>1099.6213808787477</v>
      </c>
      <c r="F62" s="13">
        <v>3000</v>
      </c>
      <c r="G62" t="s">
        <v>105</v>
      </c>
      <c r="H62" s="168">
        <f>1-(F62/C62)^(1/(F58-C58))</f>
        <v>-5.1462779877459175E-2</v>
      </c>
      <c r="I62" s="44"/>
    </row>
    <row r="63" spans="1:9" x14ac:dyDescent="0.5">
      <c r="B63" s="3" t="s">
        <v>260</v>
      </c>
      <c r="C63" s="40"/>
      <c r="D63" s="63"/>
      <c r="E63" s="63"/>
      <c r="F63" s="39"/>
      <c r="G63" t="s">
        <v>64</v>
      </c>
      <c r="H63" s="168"/>
      <c r="I63" s="44"/>
    </row>
    <row r="64" spans="1:9" x14ac:dyDescent="0.5">
      <c r="B64" s="3" t="s">
        <v>65</v>
      </c>
      <c r="C64" s="265" t="s">
        <v>549</v>
      </c>
      <c r="D64" s="63"/>
      <c r="E64" s="63"/>
      <c r="F64" s="208">
        <v>90</v>
      </c>
      <c r="G64" s="115" t="s">
        <v>66</v>
      </c>
      <c r="H64" s="44"/>
      <c r="I64" s="44"/>
    </row>
    <row r="65" spans="1:9" x14ac:dyDescent="0.5">
      <c r="B65" s="3" t="s">
        <v>334</v>
      </c>
      <c r="C65" s="270">
        <v>20</v>
      </c>
      <c r="D65" s="271">
        <f>C65*(1-H65)^(D58-C58)</f>
        <v>16.51913255979305</v>
      </c>
      <c r="E65" s="271">
        <f>C65*(1-H65)^(E58-C58)</f>
        <v>13.007199203560058</v>
      </c>
      <c r="F65" s="272">
        <v>5</v>
      </c>
      <c r="G65" t="s">
        <v>74</v>
      </c>
      <c r="H65" s="168">
        <f>1-(F65/C65)^(1/(F58-C58))</f>
        <v>4.667866905336604E-2</v>
      </c>
      <c r="I65" s="44"/>
    </row>
    <row r="66" spans="1:9" ht="14.7" thickBot="1" x14ac:dyDescent="0.55000000000000004">
      <c r="B66" s="5" t="s">
        <v>331</v>
      </c>
      <c r="C66" s="268">
        <v>1</v>
      </c>
      <c r="D66" s="269">
        <f>C66*(1-H66)^(D58-C58)</f>
        <v>0.80092222324478179</v>
      </c>
      <c r="E66" s="269">
        <f>C66*(1-H66)^(E58-C58)</f>
        <v>0.60684569379839415</v>
      </c>
      <c r="F66" s="263">
        <v>0.2</v>
      </c>
      <c r="G66" s="187" t="s">
        <v>74</v>
      </c>
      <c r="H66" s="169">
        <f>1-(F66/C66)^(1/(F58-C58))</f>
        <v>5.3985950962436524E-2</v>
      </c>
      <c r="I66" s="166"/>
    </row>
    <row r="67" spans="1:9" ht="14.7" thickBot="1" x14ac:dyDescent="0.55000000000000004"/>
    <row r="68" spans="1:9" x14ac:dyDescent="0.5">
      <c r="A68" s="3" t="s">
        <v>367</v>
      </c>
      <c r="B68" s="4"/>
      <c r="C68" s="4">
        <v>2021</v>
      </c>
      <c r="D68" s="29">
        <v>2025</v>
      </c>
      <c r="E68" s="29">
        <v>2030</v>
      </c>
      <c r="F68" s="4">
        <v>2050</v>
      </c>
      <c r="G68" s="4" t="s">
        <v>59</v>
      </c>
      <c r="H68" s="170" t="s">
        <v>322</v>
      </c>
      <c r="I68" s="167" t="s">
        <v>323</v>
      </c>
    </row>
    <row r="69" spans="1:9" x14ac:dyDescent="0.5">
      <c r="B69" s="3" t="s">
        <v>267</v>
      </c>
      <c r="C69" s="198">
        <v>315</v>
      </c>
      <c r="D69" s="54">
        <f>C69*(1-H69)^(D68-C68)</f>
        <v>205.13079419218886</v>
      </c>
      <c r="E69" s="208">
        <v>120</v>
      </c>
      <c r="F69" s="39"/>
      <c r="G69" t="s">
        <v>268</v>
      </c>
      <c r="H69" s="168">
        <f>1-(E69/C69)^(1/(E68-C68))</f>
        <v>0.1016820517189051</v>
      </c>
      <c r="I69" s="44"/>
    </row>
    <row r="70" spans="1:9" x14ac:dyDescent="0.5">
      <c r="B70" s="3" t="s">
        <v>269</v>
      </c>
      <c r="C70" s="95"/>
      <c r="D70" s="63"/>
      <c r="E70" s="63"/>
      <c r="F70" s="39"/>
      <c r="G70" t="s">
        <v>61</v>
      </c>
      <c r="H70" s="168"/>
      <c r="I70" s="44"/>
    </row>
    <row r="71" spans="1:9" x14ac:dyDescent="0.5">
      <c r="B71" s="3" t="s">
        <v>259</v>
      </c>
      <c r="C71" s="95"/>
      <c r="D71" s="63"/>
      <c r="E71" s="63"/>
      <c r="F71" s="40"/>
      <c r="G71" t="s">
        <v>105</v>
      </c>
      <c r="H71" s="168" t="s">
        <v>47</v>
      </c>
      <c r="I71" s="44"/>
    </row>
    <row r="72" spans="1:9" x14ac:dyDescent="0.5">
      <c r="B72" s="3" t="s">
        <v>260</v>
      </c>
      <c r="C72" s="40"/>
      <c r="D72" s="63"/>
      <c r="E72" s="63"/>
      <c r="F72" s="39"/>
      <c r="G72" t="s">
        <v>64</v>
      </c>
      <c r="H72" s="168"/>
      <c r="I72" s="44"/>
    </row>
    <row r="73" spans="1:9" ht="14.7" thickBot="1" x14ac:dyDescent="0.55000000000000004">
      <c r="B73" s="5" t="s">
        <v>65</v>
      </c>
      <c r="C73" s="173"/>
      <c r="D73" s="67"/>
      <c r="E73" s="67"/>
      <c r="F73" s="41"/>
      <c r="G73" s="6" t="s">
        <v>66</v>
      </c>
      <c r="H73" s="169"/>
      <c r="I73" s="166"/>
    </row>
    <row r="74" spans="1:9" ht="14.7" thickBot="1" x14ac:dyDescent="0.55000000000000004"/>
    <row r="75" spans="1:9" x14ac:dyDescent="0.5">
      <c r="A75" s="3" t="s">
        <v>368</v>
      </c>
      <c r="B75" s="4"/>
      <c r="C75" s="4">
        <v>2021</v>
      </c>
      <c r="D75" s="29">
        <v>2025</v>
      </c>
      <c r="E75" s="29">
        <v>2030</v>
      </c>
      <c r="F75" s="4">
        <v>2050</v>
      </c>
      <c r="G75" s="4" t="s">
        <v>59</v>
      </c>
      <c r="H75" s="170" t="s">
        <v>322</v>
      </c>
      <c r="I75" s="167" t="s">
        <v>323</v>
      </c>
    </row>
    <row r="76" spans="1:9" x14ac:dyDescent="0.5">
      <c r="B76" s="3" t="s">
        <v>81</v>
      </c>
      <c r="C76" s="95"/>
      <c r="D76" s="286" t="s">
        <v>550</v>
      </c>
      <c r="E76" s="39"/>
      <c r="F76" s="39"/>
      <c r="G76" t="s">
        <v>256</v>
      </c>
      <c r="H76" s="168"/>
      <c r="I76" s="44"/>
    </row>
    <row r="77" spans="1:9" x14ac:dyDescent="0.5">
      <c r="B77" s="3" t="s">
        <v>259</v>
      </c>
      <c r="C77" s="95"/>
      <c r="D77" s="212">
        <v>1000</v>
      </c>
      <c r="E77" s="212">
        <v>3000</v>
      </c>
      <c r="F77" s="40"/>
      <c r="G77" t="s">
        <v>105</v>
      </c>
      <c r="H77" s="168" t="s">
        <v>47</v>
      </c>
      <c r="I77" s="44"/>
    </row>
    <row r="78" spans="1:9" ht="14.7" thickBot="1" x14ac:dyDescent="0.55000000000000004">
      <c r="B78" s="5" t="s">
        <v>65</v>
      </c>
      <c r="C78" s="173"/>
      <c r="D78" s="205">
        <v>80</v>
      </c>
      <c r="E78" s="67"/>
      <c r="F78" s="41"/>
      <c r="G78" s="6" t="s">
        <v>66</v>
      </c>
      <c r="H78" s="169"/>
      <c r="I78" s="166"/>
    </row>
    <row r="79" spans="1:9" ht="14.7" thickBot="1" x14ac:dyDescent="0.55000000000000004"/>
    <row r="80" spans="1:9" x14ac:dyDescent="0.5">
      <c r="A80" s="3" t="s">
        <v>408</v>
      </c>
      <c r="B80" s="4"/>
      <c r="C80" s="4">
        <v>2021</v>
      </c>
      <c r="D80" s="29">
        <v>2025</v>
      </c>
      <c r="E80" s="29">
        <v>2030</v>
      </c>
      <c r="F80" s="4">
        <v>2050</v>
      </c>
      <c r="G80" s="4" t="s">
        <v>59</v>
      </c>
      <c r="H80" s="170" t="s">
        <v>322</v>
      </c>
      <c r="I80" s="167" t="s">
        <v>323</v>
      </c>
    </row>
    <row r="81" spans="1:9" x14ac:dyDescent="0.5">
      <c r="B81" s="3" t="s">
        <v>546</v>
      </c>
      <c r="C81" s="95"/>
      <c r="D81" s="286" t="s">
        <v>551</v>
      </c>
      <c r="E81" s="39"/>
      <c r="F81" s="39"/>
      <c r="G81" t="s">
        <v>256</v>
      </c>
      <c r="H81" s="168"/>
      <c r="I81" s="44"/>
    </row>
    <row r="82" spans="1:9" x14ac:dyDescent="0.5">
      <c r="B82" s="3" t="s">
        <v>259</v>
      </c>
      <c r="C82" s="95"/>
      <c r="D82" s="212">
        <v>1000</v>
      </c>
      <c r="E82" s="212">
        <v>6500</v>
      </c>
      <c r="F82" s="40"/>
      <c r="G82" t="s">
        <v>105</v>
      </c>
      <c r="H82" s="168" t="s">
        <v>47</v>
      </c>
      <c r="I82" s="44"/>
    </row>
    <row r="83" spans="1:9" ht="14.7" thickBot="1" x14ac:dyDescent="0.55000000000000004">
      <c r="B83" s="5" t="s">
        <v>65</v>
      </c>
      <c r="C83" s="173"/>
      <c r="D83" s="285">
        <v>70</v>
      </c>
      <c r="E83" s="67"/>
      <c r="F83" s="41"/>
      <c r="G83" s="6" t="s">
        <v>66</v>
      </c>
      <c r="H83" s="169"/>
      <c r="I83" s="166"/>
    </row>
    <row r="84" spans="1:9" ht="14.7" thickBot="1" x14ac:dyDescent="0.55000000000000004"/>
    <row r="85" spans="1:9" x14ac:dyDescent="0.5">
      <c r="A85" s="3" t="s">
        <v>409</v>
      </c>
      <c r="B85" s="4"/>
      <c r="C85" s="4">
        <v>2021</v>
      </c>
      <c r="D85" s="29">
        <v>2025</v>
      </c>
      <c r="E85" s="29">
        <v>2030</v>
      </c>
      <c r="F85" s="4">
        <v>2050</v>
      </c>
      <c r="G85" s="4" t="s">
        <v>59</v>
      </c>
      <c r="H85" s="170" t="s">
        <v>322</v>
      </c>
      <c r="I85" s="167" t="s">
        <v>323</v>
      </c>
    </row>
    <row r="86" spans="1:9" x14ac:dyDescent="0.5">
      <c r="B86" s="3" t="s">
        <v>255</v>
      </c>
      <c r="C86" s="284"/>
      <c r="D86" s="212">
        <v>100</v>
      </c>
      <c r="E86" s="208">
        <v>450</v>
      </c>
      <c r="F86" s="39"/>
      <c r="G86" t="s">
        <v>256</v>
      </c>
      <c r="H86" s="168"/>
      <c r="I86" s="44"/>
    </row>
  </sheetData>
  <phoneticPr fontId="22" type="noConversion"/>
  <hyperlinks>
    <hyperlink ref="E19" r:id="rId1" xr:uid="{00000000-0004-0000-1E00-000005000000}"/>
    <hyperlink ref="E21" r:id="rId2" xr:uid="{8DC7F019-2410-4264-A5E0-9F87E6637FAF}"/>
    <hyperlink ref="E22" r:id="rId3" xr:uid="{1F66260E-5582-417F-A2EB-7B3A67F7B379}"/>
    <hyperlink ref="E23" r:id="rId4" location="page=1.88" display="https://www.nature.com/articles/s41467-022-28381-x.pdf?utm_source=scopus&amp;getft_integrator=scopus - page=1.88" xr:uid="{3ACB03BE-EB91-400D-B741-7F34F7372453}"/>
    <hyperlink ref="E24" r:id="rId5" display="https://pubs.acs.org/doi/10.1021/acsaem.5c01298?utm_source=chatgpt.com" xr:uid="{228B3D7C-640A-493D-8B6F-52ADB4ADEBCE}"/>
    <hyperlink ref="E25" r:id="rId6" location="fig4" display="https://www.sciencedirect.com/science/article/pii/S2542435123002301?utm_source=chatgpt.com - fig4" xr:uid="{D41BF7EA-9C1D-4AFB-9EBA-47B9A6B4015B}"/>
  </hyperlinks>
  <pageMargins left="0.7" right="0.7" top="0.75" bottom="0.75" header="0.3" footer="0.3"/>
  <pageSetup paperSize="9" orientation="portrait" r:id="rId7"/>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Tabelle31">
    <tabColor rgb="FFFFC000"/>
  </sheetPr>
  <dimension ref="B3:L18"/>
  <sheetViews>
    <sheetView workbookViewId="0">
      <selection activeCell="F22" sqref="F22"/>
    </sheetView>
  </sheetViews>
  <sheetFormatPr defaultColWidth="11.46875" defaultRowHeight="14.35" x14ac:dyDescent="0.5"/>
  <cols>
    <col min="2" max="2" width="30.29296875" bestFit="1" customWidth="1"/>
    <col min="3" max="3" width="9.8203125" customWidth="1"/>
    <col min="4" max="4" width="8.8203125" customWidth="1"/>
    <col min="5" max="5" width="10.52734375" customWidth="1"/>
    <col min="7" max="7" width="10" customWidth="1"/>
    <col min="12" max="12" width="20.17578125" bestFit="1" customWidth="1"/>
  </cols>
  <sheetData>
    <row r="3" spans="2:12" x14ac:dyDescent="0.5">
      <c r="C3" s="422">
        <v>2016</v>
      </c>
      <c r="D3" s="422"/>
      <c r="E3" s="422"/>
      <c r="F3" s="425">
        <v>2025</v>
      </c>
      <c r="G3" s="425"/>
      <c r="H3" s="425"/>
      <c r="I3" s="426">
        <v>2030</v>
      </c>
      <c r="J3" s="426"/>
      <c r="K3" s="426"/>
      <c r="L3" s="105"/>
    </row>
    <row r="4" spans="2:12" ht="18.350000000000001" thickBot="1" x14ac:dyDescent="0.65">
      <c r="B4" s="104" t="s">
        <v>552</v>
      </c>
      <c r="C4" s="106" t="s">
        <v>56</v>
      </c>
      <c r="D4" s="106" t="s">
        <v>57</v>
      </c>
      <c r="E4" s="106" t="s">
        <v>58</v>
      </c>
      <c r="F4" s="106" t="s">
        <v>56</v>
      </c>
      <c r="G4" s="106" t="s">
        <v>57</v>
      </c>
      <c r="H4" s="106" t="s">
        <v>58</v>
      </c>
      <c r="I4" s="106" t="s">
        <v>56</v>
      </c>
      <c r="J4" s="106" t="s">
        <v>57</v>
      </c>
      <c r="K4" s="106" t="s">
        <v>58</v>
      </c>
      <c r="L4" s="106" t="s">
        <v>59</v>
      </c>
    </row>
    <row r="5" spans="2:12" x14ac:dyDescent="0.5">
      <c r="B5" s="18" t="s">
        <v>255</v>
      </c>
      <c r="C5" s="228" t="e">
        <f>NA()</f>
        <v>#N/A</v>
      </c>
      <c r="D5" s="229" t="e">
        <f>NA()</f>
        <v>#N/A</v>
      </c>
      <c r="E5" s="229" t="e">
        <f>NA()</f>
        <v>#N/A</v>
      </c>
      <c r="F5" s="281">
        <f>'ZnBr (Zinc ion) (calc)'!D9</f>
        <v>100</v>
      </c>
      <c r="G5" s="19">
        <f>'ZnBr (Zinc ion) (calc)'!C9</f>
        <v>40</v>
      </c>
      <c r="H5" s="20">
        <f>AVERAGE(F5,G5)</f>
        <v>70</v>
      </c>
      <c r="I5" s="81">
        <v>200</v>
      </c>
      <c r="J5" s="19">
        <v>80</v>
      </c>
      <c r="K5" s="20">
        <f>AVERAGE(I5,J5)</f>
        <v>140</v>
      </c>
      <c r="L5" s="21" t="s">
        <v>256</v>
      </c>
    </row>
    <row r="6" spans="2:12" x14ac:dyDescent="0.5">
      <c r="B6" s="3" t="s">
        <v>257</v>
      </c>
      <c r="C6" s="231" t="e">
        <f>NA()</f>
        <v>#N/A</v>
      </c>
      <c r="D6" s="232" t="e">
        <f>NA()</f>
        <v>#N/A</v>
      </c>
      <c r="E6" s="230" t="e">
        <f>NA()</f>
        <v>#N/A</v>
      </c>
      <c r="F6" s="86">
        <f>F5/F16</f>
        <v>125</v>
      </c>
      <c r="G6" s="87">
        <f>G5/F16</f>
        <v>50</v>
      </c>
      <c r="H6" s="87">
        <f>H5/F16</f>
        <v>87.5</v>
      </c>
      <c r="I6" s="86">
        <f>I5/I16</f>
        <v>333.33333333333337</v>
      </c>
      <c r="J6" s="87">
        <f>J5/I16</f>
        <v>133.33333333333334</v>
      </c>
      <c r="K6" s="292">
        <f>K5/I16</f>
        <v>233.33333333333334</v>
      </c>
      <c r="L6" s="22" t="s">
        <v>258</v>
      </c>
    </row>
    <row r="7" spans="2:12" x14ac:dyDescent="0.5">
      <c r="B7" s="18" t="s">
        <v>259</v>
      </c>
      <c r="C7" s="233" t="e">
        <f>NA()</f>
        <v>#N/A</v>
      </c>
      <c r="D7" s="234" t="e">
        <f>NA()</f>
        <v>#N/A</v>
      </c>
      <c r="E7" s="227" t="e">
        <f>NA()</f>
        <v>#N/A</v>
      </c>
      <c r="F7" s="85">
        <f>'ZnBr (Zinc ion) (calc)'!D6</f>
        <v>10000</v>
      </c>
      <c r="G7" s="23">
        <f>'ZnBr (Zinc ion) (calc)'!C6</f>
        <v>856</v>
      </c>
      <c r="H7" s="107">
        <f t="shared" ref="H7:H15" si="0">AVERAGE(F7:G7)</f>
        <v>5428</v>
      </c>
      <c r="I7" s="85">
        <f t="shared" ref="I7:I15" ca="1" si="1">IFERROR(F7*K7/H7,0)</f>
        <v>10000</v>
      </c>
      <c r="J7" s="23">
        <f t="shared" ref="J7:J15" ca="1" si="2">IFERROR(G7*K7/H7, 0)</f>
        <v>856</v>
      </c>
      <c r="K7" s="107">
        <f ca="1">INDIRECT(ADDRESS(ROW($B6),COLUMN(E$4),1,,$B$4))</f>
        <v>5428</v>
      </c>
      <c r="L7" s="21" t="s">
        <v>105</v>
      </c>
    </row>
    <row r="8" spans="2:12" x14ac:dyDescent="0.5">
      <c r="B8" s="3" t="s">
        <v>260</v>
      </c>
      <c r="C8" s="235" t="e">
        <f>NA()</f>
        <v>#N/A</v>
      </c>
      <c r="D8" s="236" t="e">
        <f>NA()</f>
        <v>#N/A</v>
      </c>
      <c r="E8" s="227" t="e">
        <f>NA()</f>
        <v>#N/A</v>
      </c>
      <c r="F8" s="86">
        <f>'ZnBr (Zinc ion) (calc)'!D7</f>
        <v>20</v>
      </c>
      <c r="G8" s="87">
        <f>'ZnBr (Zinc ion) (calc)'!C7</f>
        <v>10</v>
      </c>
      <c r="H8" s="107">
        <f t="shared" si="0"/>
        <v>15</v>
      </c>
      <c r="I8" s="86">
        <f t="shared" si="1"/>
        <v>26.666666666666668</v>
      </c>
      <c r="J8" s="87">
        <f t="shared" si="2"/>
        <v>13.333333333333334</v>
      </c>
      <c r="K8" s="109">
        <f>'ZnBr (Zinc ion) (calc)'!E7</f>
        <v>20</v>
      </c>
      <c r="L8" s="22" t="s">
        <v>64</v>
      </c>
    </row>
    <row r="9" spans="2:12" x14ac:dyDescent="0.5">
      <c r="B9" s="18" t="s">
        <v>81</v>
      </c>
      <c r="C9" s="233" t="e">
        <f>NA()</f>
        <v>#N/A</v>
      </c>
      <c r="D9" s="234" t="e">
        <f>NA()</f>
        <v>#N/A</v>
      </c>
      <c r="E9" s="227" t="e">
        <f>NA()</f>
        <v>#N/A</v>
      </c>
      <c r="F9" s="85">
        <f>'Li-Ion (Titanate)'!C9</f>
        <v>100</v>
      </c>
      <c r="G9" s="23">
        <f>'Li-Ion (Titanate)'!D9</f>
        <v>84</v>
      </c>
      <c r="H9" s="226">
        <f>'Li-Ion (Titanate)'!E9</f>
        <v>95</v>
      </c>
      <c r="I9" s="85">
        <f t="shared" si="1"/>
        <v>100</v>
      </c>
      <c r="J9" s="23">
        <f t="shared" si="2"/>
        <v>84</v>
      </c>
      <c r="K9" s="24">
        <f>H9</f>
        <v>95</v>
      </c>
      <c r="L9" s="21" t="s">
        <v>66</v>
      </c>
    </row>
    <row r="10" spans="2:12" x14ac:dyDescent="0.5">
      <c r="B10" s="3" t="s">
        <v>65</v>
      </c>
      <c r="C10" s="235" t="e">
        <f>NA()</f>
        <v>#N/A</v>
      </c>
      <c r="D10" s="236" t="e">
        <f>NA()</f>
        <v>#N/A</v>
      </c>
      <c r="E10" s="227" t="e">
        <f>NA()</f>
        <v>#N/A</v>
      </c>
      <c r="F10" s="86">
        <f>'ZnBr (Zinc ion) (calc)'!D10</f>
        <v>80</v>
      </c>
      <c r="G10" s="87">
        <f>'ZnBr (Zinc ion) (calc)'!C10</f>
        <v>70</v>
      </c>
      <c r="H10" s="107">
        <f t="shared" si="0"/>
        <v>75</v>
      </c>
      <c r="I10" s="86">
        <f t="shared" ca="1" si="1"/>
        <v>96</v>
      </c>
      <c r="J10" s="87">
        <f t="shared" ca="1" si="2"/>
        <v>84</v>
      </c>
      <c r="K10" s="109">
        <f ca="1">INDIRECT(ADDRESS(ROW($B10),COLUMN(E$4),1,,$B$4))</f>
        <v>90</v>
      </c>
      <c r="L10" s="22" t="s">
        <v>66</v>
      </c>
    </row>
    <row r="11" spans="2:12" x14ac:dyDescent="0.5">
      <c r="B11" s="18" t="s">
        <v>137</v>
      </c>
      <c r="C11" s="228" t="e">
        <f>NA()</f>
        <v>#N/A</v>
      </c>
      <c r="D11" s="229" t="e">
        <f>NA()</f>
        <v>#N/A</v>
      </c>
      <c r="E11" s="230" t="e">
        <f>NA()</f>
        <v>#N/A</v>
      </c>
      <c r="F11" s="85">
        <v>0</v>
      </c>
      <c r="G11" s="23">
        <v>0</v>
      </c>
      <c r="H11" s="24">
        <v>0</v>
      </c>
      <c r="I11" s="85">
        <v>0</v>
      </c>
      <c r="J11" s="23">
        <v>0</v>
      </c>
      <c r="K11" s="24">
        <v>0</v>
      </c>
      <c r="L11" s="21" t="s">
        <v>261</v>
      </c>
    </row>
    <row r="12" spans="2:12" x14ac:dyDescent="0.5">
      <c r="B12" s="28" t="s">
        <v>262</v>
      </c>
      <c r="C12" s="231" t="e">
        <f>NA()</f>
        <v>#N/A</v>
      </c>
      <c r="D12" s="232" t="e">
        <f>NA()</f>
        <v>#N/A</v>
      </c>
      <c r="E12" s="230" t="e">
        <f>NA()</f>
        <v>#N/A</v>
      </c>
      <c r="F12" s="82">
        <f>'Li-Ion (Titanate)'!C12</f>
        <v>3.0000000000000001E-3</v>
      </c>
      <c r="G12" s="83">
        <f>'Li-Ion (Titanate)'!D12</f>
        <v>1</v>
      </c>
      <c r="H12" s="20">
        <f>'Li-Ion (Titanate)'!E12</f>
        <v>0.01</v>
      </c>
      <c r="I12" s="82">
        <f>F12</f>
        <v>3.0000000000000001E-3</v>
      </c>
      <c r="J12" s="83">
        <f>G12</f>
        <v>1</v>
      </c>
      <c r="K12" s="84">
        <f>H12</f>
        <v>0.01</v>
      </c>
      <c r="L12" s="88" t="s">
        <v>265</v>
      </c>
    </row>
    <row r="13" spans="2:12" x14ac:dyDescent="0.5">
      <c r="B13" s="89" t="s">
        <v>266</v>
      </c>
      <c r="C13" s="237" t="e">
        <f>NA()</f>
        <v>#N/A</v>
      </c>
      <c r="D13" s="238" t="e">
        <f>NA()</f>
        <v>#N/A</v>
      </c>
      <c r="E13" s="227" t="e">
        <f>NA()</f>
        <v>#N/A</v>
      </c>
      <c r="F13" s="287">
        <f>'Overview 2016 (in)'!J46</f>
        <v>0</v>
      </c>
      <c r="G13" s="25">
        <f>'Overview 2016 (in)'!K46</f>
        <v>0</v>
      </c>
      <c r="H13" s="24" t="s">
        <v>83</v>
      </c>
      <c r="I13" s="287">
        <f t="shared" si="1"/>
        <v>0</v>
      </c>
      <c r="J13" s="25">
        <f t="shared" si="2"/>
        <v>0</v>
      </c>
      <c r="K13" s="26" t="str">
        <f>H13</f>
        <v>-</v>
      </c>
      <c r="L13" s="21" t="s">
        <v>64</v>
      </c>
    </row>
    <row r="14" spans="2:12" x14ac:dyDescent="0.5">
      <c r="B14" s="28" t="s">
        <v>267</v>
      </c>
      <c r="C14" s="235" t="e">
        <f>NA()</f>
        <v>#N/A</v>
      </c>
      <c r="D14" s="236" t="e">
        <f>NA()</f>
        <v>#N/A</v>
      </c>
      <c r="E14" s="227" t="e">
        <f>NA()</f>
        <v>#N/A</v>
      </c>
      <c r="F14" s="86">
        <f>'ZnBr (Zinc ion) (calc)'!C4</f>
        <v>205</v>
      </c>
      <c r="G14" s="87">
        <f>'ZnBr (Zinc ion) (calc)'!D4</f>
        <v>353</v>
      </c>
      <c r="H14" s="107">
        <f t="shared" si="0"/>
        <v>279</v>
      </c>
      <c r="I14" s="86">
        <f ca="1">IFERROR(F14*K14/H14,0)</f>
        <v>112.41935483870968</v>
      </c>
      <c r="J14" s="87">
        <f ca="1">IFERROR(G14*K14/H14, 0)</f>
        <v>193.58064516129033</v>
      </c>
      <c r="K14" s="108">
        <f ca="1">IF(CELL("format",INDIRECT(ADDRESS(ROW($B4),COLUMN(E$4),1,,$B$4)))="W0-",INDIRECT(ADDRESS(ROW($B4),COLUMN(E$4),1,,$B$4))*'Overview 2016 (in)'!$O$7,INDIRECT(ADDRESS(ROW($B4),COLUMN(E$4),1,,$B$4)))</f>
        <v>153</v>
      </c>
      <c r="L14" s="88" t="s">
        <v>268</v>
      </c>
    </row>
    <row r="15" spans="2:12" x14ac:dyDescent="0.5">
      <c r="B15" s="89" t="s">
        <v>269</v>
      </c>
      <c r="C15" s="234" t="e">
        <f>NA()</f>
        <v>#N/A</v>
      </c>
      <c r="D15" s="234" t="e">
        <f>NA()</f>
        <v>#N/A</v>
      </c>
      <c r="E15" s="227" t="e">
        <f>NA()</f>
        <v>#N/A</v>
      </c>
      <c r="F15" s="23">
        <f>'Overview 2016 (in)'!J48</f>
        <v>0</v>
      </c>
      <c r="G15" s="23">
        <f>'Overview 2016 (in)'!K48</f>
        <v>0</v>
      </c>
      <c r="H15" s="107">
        <f t="shared" si="0"/>
        <v>0</v>
      </c>
      <c r="I15" s="23">
        <f t="shared" ca="1" si="1"/>
        <v>0</v>
      </c>
      <c r="J15" s="23">
        <f t="shared" ca="1" si="2"/>
        <v>0</v>
      </c>
      <c r="K15" s="107">
        <f ca="1">IF(CELL("format",INDIRECT(ADDRESS(ROW($B5),COLUMN(E$4),1,,$B$4)))="W0-",INDIRECT(ADDRESS(ROW($B5),COLUMN(E$4),1,,$B$4))*'Overview 2016 (in)'!$O$7,INDIRECT(ADDRESS(ROW($B5),COLUMN(E$4),1,,$B$4)))</f>
        <v>0</v>
      </c>
      <c r="L15" s="21" t="s">
        <v>61</v>
      </c>
    </row>
    <row r="16" spans="2:12" ht="14.7" thickBot="1" x14ac:dyDescent="0.55000000000000004">
      <c r="B16" s="245" t="s">
        <v>51</v>
      </c>
      <c r="C16" s="267" t="e">
        <f>NA()</f>
        <v>#N/A</v>
      </c>
      <c r="D16" s="239" t="e">
        <f>NA()</f>
        <v>#N/A</v>
      </c>
      <c r="E16" s="240" t="e">
        <f>NA()</f>
        <v>#N/A</v>
      </c>
      <c r="F16" s="247">
        <f>'ZnBr (Zinc ion) (calc)'!C11</f>
        <v>0.8</v>
      </c>
      <c r="G16" s="247">
        <f>'ZnBr (Zinc ion) (calc)'!C12</f>
        <v>16.5</v>
      </c>
      <c r="H16" s="246">
        <f>AVERAGE(F16:G16)</f>
        <v>8.65</v>
      </c>
      <c r="I16" s="247">
        <f>'ZnBr (Zinc ion) (calc)'!E11</f>
        <v>0.6</v>
      </c>
      <c r="J16" s="247">
        <f>'ZnBr (Zinc ion) (calc)'!E12</f>
        <v>13</v>
      </c>
      <c r="K16" s="246">
        <f>AVERAGE(I16:J16)</f>
        <v>6.8</v>
      </c>
      <c r="L16" s="135" t="s">
        <v>344</v>
      </c>
    </row>
    <row r="17" spans="2:6" x14ac:dyDescent="0.5">
      <c r="F17" s="111"/>
    </row>
    <row r="18" spans="2:6" ht="18" x14ac:dyDescent="0.6">
      <c r="B18" s="1"/>
      <c r="C18" s="1"/>
      <c r="D18" s="1"/>
      <c r="E18" s="1"/>
    </row>
  </sheetData>
  <mergeCells count="3">
    <mergeCell ref="F3:H3"/>
    <mergeCell ref="I3:K3"/>
    <mergeCell ref="C3:E3"/>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Tabelle32">
    <tabColor theme="5" tint="0.39997558519241921"/>
  </sheetPr>
  <dimension ref="A2:S50"/>
  <sheetViews>
    <sheetView workbookViewId="0">
      <selection activeCell="B43" sqref="B43:K43"/>
    </sheetView>
  </sheetViews>
  <sheetFormatPr defaultColWidth="9.17578125" defaultRowHeight="14.35" x14ac:dyDescent="0.5"/>
  <cols>
    <col min="2" max="2" width="26.52734375" customWidth="1"/>
    <col min="3" max="8" width="10.64453125" customWidth="1"/>
    <col min="9" max="9" width="20.29296875" customWidth="1"/>
    <col min="10" max="12" width="12.64453125" customWidth="1"/>
  </cols>
  <sheetData>
    <row r="2" spans="2:16" ht="18.350000000000001" thickBot="1" x14ac:dyDescent="0.65">
      <c r="B2" s="1" t="s">
        <v>242</v>
      </c>
      <c r="C2" s="9"/>
      <c r="K2" s="1" t="s">
        <v>286</v>
      </c>
    </row>
    <row r="3" spans="2:16" x14ac:dyDescent="0.5">
      <c r="B3" s="4"/>
      <c r="C3" s="4">
        <v>2016</v>
      </c>
      <c r="D3" s="29">
        <v>2020</v>
      </c>
      <c r="E3" s="29">
        <v>2025</v>
      </c>
      <c r="F3" s="29">
        <v>2030</v>
      </c>
      <c r="G3" s="4" t="s">
        <v>59</v>
      </c>
      <c r="H3" s="3"/>
      <c r="I3" s="4" t="s">
        <v>287</v>
      </c>
      <c r="J3" s="4" t="s">
        <v>288</v>
      </c>
      <c r="K3" s="4" t="s">
        <v>289</v>
      </c>
      <c r="L3" s="4" t="s">
        <v>290</v>
      </c>
      <c r="O3" s="3"/>
      <c r="P3" s="3"/>
    </row>
    <row r="4" spans="2:16" x14ac:dyDescent="0.5">
      <c r="B4" s="3" t="s">
        <v>267</v>
      </c>
      <c r="C4" s="32">
        <f>'Overview 2016 (in)'!F63</f>
        <v>399</v>
      </c>
      <c r="D4" s="32">
        <v>354</v>
      </c>
      <c r="E4" s="32">
        <v>306</v>
      </c>
      <c r="F4" s="32">
        <v>264</v>
      </c>
      <c r="G4" t="s">
        <v>268</v>
      </c>
      <c r="I4" s="35" t="s">
        <v>350</v>
      </c>
      <c r="J4">
        <v>3</v>
      </c>
      <c r="K4">
        <v>3</v>
      </c>
      <c r="L4">
        <v>3</v>
      </c>
    </row>
    <row r="5" spans="2:16" x14ac:dyDescent="0.5">
      <c r="B5" s="3" t="s">
        <v>269</v>
      </c>
      <c r="C5" s="32">
        <f>'Overview 2016 (in)'!F64</f>
        <v>0</v>
      </c>
      <c r="D5" s="32"/>
      <c r="E5" s="32"/>
      <c r="F5" s="32"/>
      <c r="G5" t="s">
        <v>61</v>
      </c>
      <c r="I5" s="35" t="s">
        <v>350</v>
      </c>
    </row>
    <row r="6" spans="2:16" x14ac:dyDescent="0.5">
      <c r="B6" s="3" t="s">
        <v>259</v>
      </c>
      <c r="C6">
        <f>'Overview 2016 (in)'!F56</f>
        <v>3000</v>
      </c>
      <c r="G6" t="s">
        <v>105</v>
      </c>
      <c r="I6" s="35" t="s">
        <v>350</v>
      </c>
    </row>
    <row r="7" spans="2:16" x14ac:dyDescent="0.5">
      <c r="B7" s="3" t="s">
        <v>260</v>
      </c>
      <c r="C7">
        <f>'Overview 2016 (in)'!F57</f>
        <v>15</v>
      </c>
      <c r="G7" t="s">
        <v>64</v>
      </c>
      <c r="I7" s="35" t="s">
        <v>350</v>
      </c>
    </row>
    <row r="8" spans="2:16" x14ac:dyDescent="0.5">
      <c r="B8" s="3" t="s">
        <v>65</v>
      </c>
      <c r="C8">
        <f>'Overview 2016 (in)'!F59</f>
        <v>84</v>
      </c>
      <c r="E8" s="32"/>
      <c r="G8" t="s">
        <v>66</v>
      </c>
      <c r="I8" s="35" t="s">
        <v>350</v>
      </c>
    </row>
    <row r="9" spans="2:16" ht="14.7" thickBot="1" x14ac:dyDescent="0.55000000000000004">
      <c r="B9" s="5" t="s">
        <v>51</v>
      </c>
      <c r="C9" s="6">
        <v>6</v>
      </c>
      <c r="D9" s="6">
        <v>6</v>
      </c>
      <c r="E9" s="33">
        <v>6</v>
      </c>
      <c r="F9" s="6">
        <v>6</v>
      </c>
      <c r="G9" s="6" t="s">
        <v>74</v>
      </c>
      <c r="I9" s="36">
        <v>3</v>
      </c>
      <c r="J9" s="6">
        <v>3</v>
      </c>
      <c r="K9" s="6">
        <v>3</v>
      </c>
      <c r="L9" s="6">
        <v>3</v>
      </c>
    </row>
    <row r="10" spans="2:16" x14ac:dyDescent="0.5">
      <c r="B10" s="3"/>
      <c r="C10" s="10"/>
    </row>
    <row r="11" spans="2:16" x14ac:dyDescent="0.5">
      <c r="B11" s="427" t="s">
        <v>347</v>
      </c>
      <c r="C11" s="427"/>
      <c r="D11" s="427"/>
      <c r="E11" s="427"/>
      <c r="F11" s="427"/>
      <c r="G11" s="427"/>
      <c r="H11" s="427"/>
      <c r="I11" s="427"/>
      <c r="J11" s="427"/>
    </row>
    <row r="12" spans="2:16" x14ac:dyDescent="0.5">
      <c r="B12" s="427"/>
      <c r="C12" s="427"/>
      <c r="D12" s="427"/>
      <c r="E12" s="427"/>
      <c r="F12" s="427"/>
      <c r="G12" s="427"/>
      <c r="H12" s="427"/>
      <c r="I12" s="427"/>
      <c r="J12" s="427"/>
    </row>
    <row r="13" spans="2:16" ht="15.7" x14ac:dyDescent="0.5">
      <c r="B13" s="163"/>
      <c r="C13" s="163"/>
      <c r="D13" s="163"/>
      <c r="E13" s="163"/>
      <c r="F13" s="163"/>
      <c r="G13" s="163"/>
      <c r="H13" s="163"/>
      <c r="I13" s="163"/>
      <c r="J13" s="163"/>
      <c r="K13" s="2" t="s">
        <v>294</v>
      </c>
    </row>
    <row r="14" spans="2:16" ht="18.350000000000001" thickBot="1" x14ac:dyDescent="0.65">
      <c r="B14" s="1" t="s">
        <v>295</v>
      </c>
      <c r="K14" s="11" t="s">
        <v>296</v>
      </c>
    </row>
    <row r="15" spans="2:16" x14ac:dyDescent="0.5">
      <c r="B15" s="7" t="s">
        <v>297</v>
      </c>
      <c r="C15" s="7" t="s">
        <v>298</v>
      </c>
      <c r="D15" s="7" t="s">
        <v>299</v>
      </c>
      <c r="E15" s="7" t="s">
        <v>300</v>
      </c>
      <c r="F15" s="46" t="s">
        <v>553</v>
      </c>
      <c r="G15" s="7"/>
      <c r="H15" s="46" t="s">
        <v>84</v>
      </c>
      <c r="K15" s="40" t="s">
        <v>302</v>
      </c>
      <c r="L15" s="40"/>
    </row>
    <row r="16" spans="2:16" x14ac:dyDescent="0.5">
      <c r="B16">
        <v>1</v>
      </c>
      <c r="C16" t="s">
        <v>307</v>
      </c>
      <c r="D16" t="s">
        <v>308</v>
      </c>
      <c r="E16" s="164" t="s">
        <v>309</v>
      </c>
      <c r="F16" s="45" t="s">
        <v>310</v>
      </c>
      <c r="H16" s="99" t="s">
        <v>554</v>
      </c>
    </row>
    <row r="17" spans="1:19" x14ac:dyDescent="0.5">
      <c r="B17">
        <v>2</v>
      </c>
      <c r="C17" t="s">
        <v>358</v>
      </c>
      <c r="D17" t="s">
        <v>359</v>
      </c>
      <c r="E17" s="164" t="s">
        <v>360</v>
      </c>
      <c r="F17" s="80" t="s">
        <v>361</v>
      </c>
      <c r="H17" s="99" t="s">
        <v>555</v>
      </c>
    </row>
    <row r="18" spans="1:19" x14ac:dyDescent="0.5">
      <c r="B18">
        <v>3</v>
      </c>
      <c r="C18" t="s">
        <v>506</v>
      </c>
      <c r="D18" t="s">
        <v>336</v>
      </c>
      <c r="E18" s="164" t="s">
        <v>507</v>
      </c>
      <c r="F18" s="185" t="s">
        <v>508</v>
      </c>
      <c r="H18" s="99" t="s">
        <v>554</v>
      </c>
    </row>
    <row r="19" spans="1:19" x14ac:dyDescent="0.5">
      <c r="F19" s="165"/>
      <c r="H19" s="98"/>
    </row>
    <row r="21" spans="1:19" x14ac:dyDescent="0.5">
      <c r="A21" s="68" t="s">
        <v>319</v>
      </c>
    </row>
    <row r="22" spans="1:19" ht="14.7" thickBot="1" x14ac:dyDescent="0.55000000000000004">
      <c r="A22" s="68" t="s">
        <v>320</v>
      </c>
    </row>
    <row r="23" spans="1:19" x14ac:dyDescent="0.5">
      <c r="A23" s="3" t="s">
        <v>321</v>
      </c>
      <c r="B23" s="4"/>
      <c r="C23" s="4">
        <v>2016</v>
      </c>
      <c r="D23" s="29">
        <v>2020</v>
      </c>
      <c r="E23" s="4">
        <v>2023</v>
      </c>
      <c r="F23" s="29">
        <v>2025</v>
      </c>
      <c r="G23" s="29">
        <v>2030</v>
      </c>
      <c r="H23" s="4">
        <v>2033</v>
      </c>
      <c r="I23" s="4" t="s">
        <v>59</v>
      </c>
      <c r="J23" s="16" t="s">
        <v>322</v>
      </c>
      <c r="K23" s="4" t="s">
        <v>323</v>
      </c>
      <c r="O23" s="3"/>
      <c r="P23" s="3"/>
      <c r="Q23" s="3"/>
      <c r="R23" s="3"/>
      <c r="S23" s="3"/>
    </row>
    <row r="24" spans="1:19" x14ac:dyDescent="0.5">
      <c r="B24" s="3" t="s">
        <v>267</v>
      </c>
      <c r="C24" s="32">
        <f>C4</f>
        <v>399</v>
      </c>
      <c r="D24" s="54">
        <f>$C24*(1-$J24)^(D$23-$C$23)</f>
        <v>310.5677563538647</v>
      </c>
      <c r="E24" s="32">
        <f>250*Financials!D7</f>
        <v>332.00531208499336</v>
      </c>
      <c r="F24" s="54">
        <f>$C24*(1-$J24)^(F$23-$C$23)</f>
        <v>227.05742101041423</v>
      </c>
      <c r="G24" s="58">
        <f>125*Financials!D7</f>
        <v>166.00265604249668</v>
      </c>
      <c r="H24" s="39"/>
      <c r="I24" t="s">
        <v>268</v>
      </c>
      <c r="J24" s="168">
        <f>1-(G24/C24)^(1/(G$23-C$23))</f>
        <v>6.0718286695547796E-2</v>
      </c>
      <c r="K24" s="44"/>
      <c r="O24" s="12"/>
      <c r="P24" s="12"/>
      <c r="Q24" s="12"/>
      <c r="R24" s="12"/>
    </row>
    <row r="25" spans="1:19" x14ac:dyDescent="0.5">
      <c r="B25" s="3" t="s">
        <v>269</v>
      </c>
      <c r="C25" s="32">
        <f>C5</f>
        <v>0</v>
      </c>
      <c r="D25" s="63"/>
      <c r="E25" s="39"/>
      <c r="F25" s="63"/>
      <c r="G25" s="63"/>
      <c r="H25" s="39"/>
      <c r="I25" t="s">
        <v>61</v>
      </c>
      <c r="J25" s="168"/>
      <c r="K25" s="44"/>
      <c r="O25" s="12"/>
      <c r="P25" s="12"/>
      <c r="Q25" s="12"/>
      <c r="R25" s="12"/>
    </row>
    <row r="26" spans="1:19" x14ac:dyDescent="0.5">
      <c r="B26" s="3" t="s">
        <v>259</v>
      </c>
      <c r="C26">
        <f>C6</f>
        <v>3000</v>
      </c>
      <c r="D26" s="63"/>
      <c r="E26" s="39"/>
      <c r="F26" s="63"/>
      <c r="G26" s="63"/>
      <c r="H26" s="40"/>
      <c r="I26" t="s">
        <v>105</v>
      </c>
      <c r="J26" s="168"/>
      <c r="K26" s="44"/>
      <c r="O26" s="32"/>
      <c r="P26" s="32"/>
      <c r="Q26" s="32"/>
    </row>
    <row r="27" spans="1:19" x14ac:dyDescent="0.5">
      <c r="B27" s="3" t="s">
        <v>260</v>
      </c>
      <c r="C27">
        <f>C7</f>
        <v>15</v>
      </c>
      <c r="D27" s="63"/>
      <c r="E27" s="39"/>
      <c r="F27" s="63"/>
      <c r="G27" s="63"/>
      <c r="H27" s="40"/>
      <c r="I27" t="s">
        <v>64</v>
      </c>
      <c r="J27" s="168"/>
      <c r="K27" s="44"/>
      <c r="O27" s="32"/>
      <c r="P27" s="32"/>
      <c r="Q27" s="32"/>
    </row>
    <row r="28" spans="1:19" ht="14.7" thickBot="1" x14ac:dyDescent="0.55000000000000004">
      <c r="B28" s="5" t="s">
        <v>65</v>
      </c>
      <c r="C28" s="6">
        <f>C8</f>
        <v>84</v>
      </c>
      <c r="D28" s="67"/>
      <c r="E28" s="41"/>
      <c r="F28" s="67"/>
      <c r="G28" s="67"/>
      <c r="H28" s="42"/>
      <c r="I28" s="6" t="s">
        <v>66</v>
      </c>
      <c r="J28" s="169"/>
      <c r="K28" s="166"/>
      <c r="O28" s="32"/>
      <c r="P28" s="32"/>
      <c r="Q28" s="32"/>
    </row>
    <row r="29" spans="1:19" ht="14.7" thickBot="1" x14ac:dyDescent="0.55000000000000004">
      <c r="J29" s="168"/>
      <c r="K29" s="44"/>
    </row>
    <row r="30" spans="1:19" x14ac:dyDescent="0.5">
      <c r="A30" s="3" t="s">
        <v>325</v>
      </c>
      <c r="B30" s="4"/>
      <c r="C30" s="4">
        <v>2016</v>
      </c>
      <c r="D30" s="4">
        <v>2017</v>
      </c>
      <c r="E30" s="29">
        <v>2020</v>
      </c>
      <c r="F30" s="29">
        <v>2025</v>
      </c>
      <c r="G30" s="29">
        <v>2030</v>
      </c>
      <c r="H30" s="4">
        <v>2050</v>
      </c>
      <c r="I30" s="4" t="s">
        <v>59</v>
      </c>
      <c r="J30" s="170"/>
      <c r="K30" s="167"/>
      <c r="O30" s="3"/>
      <c r="P30" s="3"/>
      <c r="Q30" s="3"/>
      <c r="R30" s="3"/>
      <c r="S30" s="3"/>
    </row>
    <row r="31" spans="1:19" x14ac:dyDescent="0.5">
      <c r="B31" s="3" t="s">
        <v>267</v>
      </c>
      <c r="C31" s="92">
        <f>C4</f>
        <v>399</v>
      </c>
      <c r="D31" s="92">
        <v>465</v>
      </c>
      <c r="E31" s="102">
        <v>400</v>
      </c>
      <c r="F31" s="65">
        <f>$E31*(1-$K31)^(F$30-$E$30)</f>
        <v>311.22302674882866</v>
      </c>
      <c r="G31" s="65">
        <f>$E31*(1-$K31)^(G$30-$E$30)</f>
        <v>242.14943094675525</v>
      </c>
      <c r="H31" s="172"/>
      <c r="I31" t="s">
        <v>268</v>
      </c>
      <c r="J31" s="168">
        <f>1-(D31/C31)^(1/(D$30-C$30))</f>
        <v>-0.16541353383458657</v>
      </c>
      <c r="K31" s="44">
        <f>1-(E31/D31)^(1/(E$30-D$30))</f>
        <v>4.8952198105277622E-2</v>
      </c>
      <c r="O31" s="12"/>
      <c r="P31" s="12"/>
      <c r="Q31" s="12"/>
      <c r="R31" s="12"/>
    </row>
    <row r="32" spans="1:19" x14ac:dyDescent="0.5">
      <c r="B32" s="3" t="s">
        <v>269</v>
      </c>
      <c r="C32" s="92">
        <f t="shared" ref="C32:C35" si="0">C5</f>
        <v>0</v>
      </c>
      <c r="D32" s="172"/>
      <c r="E32" s="94"/>
      <c r="F32" s="94"/>
      <c r="G32" s="94"/>
      <c r="H32" s="95"/>
      <c r="I32" t="s">
        <v>61</v>
      </c>
      <c r="J32" s="168"/>
      <c r="K32" s="44"/>
      <c r="O32" s="12"/>
      <c r="P32" s="12"/>
      <c r="Q32" s="12"/>
      <c r="R32" s="12"/>
    </row>
    <row r="33" spans="1:17" x14ac:dyDescent="0.5">
      <c r="B33" s="3" t="s">
        <v>259</v>
      </c>
      <c r="C33" s="92">
        <f t="shared" si="0"/>
        <v>3000</v>
      </c>
      <c r="D33" s="95"/>
      <c r="E33" s="63"/>
      <c r="F33" s="63"/>
      <c r="G33" s="63"/>
      <c r="H33" s="40"/>
      <c r="I33" t="s">
        <v>105</v>
      </c>
      <c r="J33" s="168"/>
      <c r="K33" s="44"/>
      <c r="O33" s="32"/>
      <c r="P33" s="32"/>
      <c r="Q33" s="32"/>
    </row>
    <row r="34" spans="1:17" x14ac:dyDescent="0.5">
      <c r="B34" s="3" t="s">
        <v>260</v>
      </c>
      <c r="C34" s="92">
        <f t="shared" si="0"/>
        <v>15</v>
      </c>
      <c r="D34" s="95"/>
      <c r="E34" s="63"/>
      <c r="F34" s="63"/>
      <c r="G34" s="63"/>
      <c r="H34" s="39"/>
      <c r="I34" t="s">
        <v>64</v>
      </c>
      <c r="J34" s="168"/>
      <c r="K34" s="44"/>
      <c r="O34" s="32"/>
      <c r="P34" s="32"/>
      <c r="Q34" s="32"/>
    </row>
    <row r="35" spans="1:17" ht="14.7" thickBot="1" x14ac:dyDescent="0.55000000000000004">
      <c r="B35" s="5" t="s">
        <v>65</v>
      </c>
      <c r="C35" s="93">
        <f t="shared" si="0"/>
        <v>84</v>
      </c>
      <c r="D35" s="173"/>
      <c r="E35" s="67"/>
      <c r="F35" s="67"/>
      <c r="G35" s="67"/>
      <c r="H35" s="41"/>
      <c r="I35" s="6" t="s">
        <v>66</v>
      </c>
      <c r="J35" s="169"/>
      <c r="K35" s="166"/>
      <c r="O35" s="32"/>
      <c r="P35" s="32"/>
      <c r="Q35" s="32"/>
    </row>
    <row r="36" spans="1:17" ht="14.7" thickBot="1" x14ac:dyDescent="0.55000000000000004">
      <c r="A36" s="53"/>
      <c r="B36" s="53"/>
      <c r="C36" s="53"/>
      <c r="D36" s="53"/>
      <c r="E36" s="53"/>
      <c r="F36" s="53"/>
      <c r="G36" s="53"/>
      <c r="H36" s="53"/>
      <c r="I36" s="53"/>
      <c r="J36" s="73"/>
      <c r="K36" s="73"/>
    </row>
    <row r="37" spans="1:17" x14ac:dyDescent="0.5">
      <c r="A37" s="3" t="s">
        <v>326</v>
      </c>
      <c r="B37" s="4"/>
      <c r="C37" s="4">
        <v>2016</v>
      </c>
      <c r="D37" s="4">
        <v>2020</v>
      </c>
      <c r="E37" s="29">
        <v>2023</v>
      </c>
      <c r="F37" s="29">
        <v>2025</v>
      </c>
      <c r="G37" s="29">
        <v>2030</v>
      </c>
      <c r="H37" s="4">
        <v>2050</v>
      </c>
      <c r="I37" s="4" t="s">
        <v>59</v>
      </c>
      <c r="J37" s="170"/>
      <c r="K37" s="167"/>
    </row>
    <row r="38" spans="1:17" x14ac:dyDescent="0.5">
      <c r="B38" s="3" t="s">
        <v>267</v>
      </c>
      <c r="C38" s="32">
        <f>C4</f>
        <v>399</v>
      </c>
      <c r="D38" s="54">
        <f>C38*(1-J38)^(D37-C37)</f>
        <v>354.44439310441334</v>
      </c>
      <c r="E38" s="212">
        <f>300*Financials!D16</f>
        <v>324.32432432432427</v>
      </c>
      <c r="F38" s="65">
        <f>C38*(1-J38)^(F37-C37)</f>
        <v>305.68007377295027</v>
      </c>
      <c r="G38" s="65">
        <f>C38*(1-J38)^(G37-C37)</f>
        <v>263.62473019656534</v>
      </c>
      <c r="H38" s="39"/>
      <c r="I38" t="s">
        <v>268</v>
      </c>
      <c r="J38" s="168">
        <f>1-(E38/C38)^(1/(E37-C37))</f>
        <v>2.9168623910449831E-2</v>
      </c>
      <c r="K38" s="44"/>
    </row>
    <row r="39" spans="1:17" x14ac:dyDescent="0.5">
      <c r="B39" s="3" t="s">
        <v>269</v>
      </c>
      <c r="C39" s="32">
        <f>C5</f>
        <v>0</v>
      </c>
      <c r="D39" s="39"/>
      <c r="E39" s="63"/>
      <c r="F39" s="63"/>
      <c r="G39" s="63"/>
      <c r="H39" s="39"/>
      <c r="I39" t="s">
        <v>61</v>
      </c>
      <c r="J39" s="168"/>
      <c r="K39" s="44"/>
    </row>
    <row r="40" spans="1:17" x14ac:dyDescent="0.5">
      <c r="B40" s="3" t="s">
        <v>259</v>
      </c>
      <c r="C40" s="92">
        <f>C6</f>
        <v>3000</v>
      </c>
      <c r="D40" s="95"/>
      <c r="E40" s="63"/>
      <c r="F40" s="63"/>
      <c r="G40" s="63"/>
      <c r="H40" s="40"/>
      <c r="I40" t="s">
        <v>105</v>
      </c>
      <c r="J40" s="168"/>
      <c r="K40" s="44"/>
    </row>
    <row r="41" spans="1:17" x14ac:dyDescent="0.5">
      <c r="B41" s="3" t="s">
        <v>260</v>
      </c>
      <c r="C41" s="92">
        <f>C7</f>
        <v>15</v>
      </c>
      <c r="D41" s="95"/>
      <c r="E41" s="63"/>
      <c r="F41" s="63"/>
      <c r="G41" s="63"/>
      <c r="H41" s="39"/>
      <c r="I41" t="s">
        <v>64</v>
      </c>
      <c r="J41" s="168"/>
      <c r="K41" s="44"/>
    </row>
    <row r="42" spans="1:17" x14ac:dyDescent="0.5">
      <c r="B42" s="3" t="s">
        <v>65</v>
      </c>
      <c r="C42" s="92">
        <f>C8</f>
        <v>84</v>
      </c>
      <c r="D42" s="95"/>
      <c r="E42" s="63"/>
      <c r="F42" s="63"/>
      <c r="G42" s="63"/>
      <c r="H42" s="39"/>
      <c r="I42" t="s">
        <v>66</v>
      </c>
      <c r="J42" s="168"/>
      <c r="K42" s="44"/>
    </row>
    <row r="43" spans="1:17" ht="14.7" thickBot="1" x14ac:dyDescent="0.55000000000000004">
      <c r="A43" s="53"/>
      <c r="B43" s="273" t="s">
        <v>51</v>
      </c>
      <c r="C43" s="276"/>
      <c r="D43" s="276" t="s">
        <v>47</v>
      </c>
      <c r="E43" s="279">
        <v>6</v>
      </c>
      <c r="F43" s="277"/>
      <c r="G43" s="277"/>
      <c r="H43" s="278"/>
      <c r="I43" s="274" t="s">
        <v>74</v>
      </c>
      <c r="J43" s="275"/>
      <c r="K43" s="274"/>
    </row>
    <row r="44" spans="1:17" x14ac:dyDescent="0.5">
      <c r="A44" s="72"/>
      <c r="B44" s="72"/>
      <c r="C44" s="72"/>
      <c r="D44" s="72"/>
      <c r="E44" s="72"/>
      <c r="F44" s="72"/>
      <c r="G44" s="72"/>
      <c r="H44" s="72"/>
      <c r="I44" s="72"/>
      <c r="J44" s="73"/>
      <c r="K44" s="73"/>
    </row>
    <row r="45" spans="1:17" x14ac:dyDescent="0.5">
      <c r="A45" s="53"/>
      <c r="B45" s="72"/>
      <c r="C45" s="74"/>
      <c r="D45" s="75"/>
      <c r="E45" s="74"/>
      <c r="F45" s="75"/>
      <c r="G45" s="75"/>
      <c r="H45" s="74"/>
      <c r="I45" s="53"/>
      <c r="J45" s="73"/>
      <c r="K45" s="73"/>
    </row>
    <row r="46" spans="1:17" x14ac:dyDescent="0.5">
      <c r="A46" s="53"/>
      <c r="B46" s="72"/>
      <c r="C46" s="74"/>
      <c r="D46" s="75"/>
      <c r="E46" s="74"/>
      <c r="F46" s="75"/>
      <c r="G46" s="75"/>
      <c r="H46" s="74"/>
      <c r="I46" s="53"/>
      <c r="J46" s="73"/>
      <c r="K46" s="73"/>
    </row>
    <row r="47" spans="1:17" x14ac:dyDescent="0.5">
      <c r="A47" s="53"/>
      <c r="B47" s="72"/>
      <c r="C47" s="53"/>
      <c r="D47" s="76"/>
      <c r="E47" s="70"/>
      <c r="F47" s="76"/>
      <c r="G47" s="76"/>
      <c r="H47" s="53"/>
      <c r="I47" s="53"/>
      <c r="J47" s="73"/>
      <c r="K47" s="73"/>
    </row>
    <row r="48" spans="1:17" x14ac:dyDescent="0.5">
      <c r="A48" s="53"/>
      <c r="B48" s="72"/>
      <c r="C48" s="53"/>
      <c r="D48" s="76"/>
      <c r="E48" s="71"/>
      <c r="F48" s="76"/>
      <c r="G48" s="76"/>
      <c r="H48" s="53"/>
      <c r="I48" s="53"/>
      <c r="J48" s="73"/>
      <c r="K48" s="73"/>
    </row>
    <row r="49" spans="1:11" x14ac:dyDescent="0.5">
      <c r="A49" s="53"/>
      <c r="B49" s="72"/>
      <c r="C49" s="71"/>
      <c r="D49" s="76"/>
      <c r="E49" s="71"/>
      <c r="F49" s="76"/>
      <c r="G49" s="76"/>
      <c r="H49" s="71"/>
      <c r="I49" s="53"/>
      <c r="J49" s="73"/>
      <c r="K49" s="73"/>
    </row>
    <row r="50" spans="1:11" x14ac:dyDescent="0.5">
      <c r="A50" s="53"/>
      <c r="B50" s="53"/>
      <c r="C50" s="53"/>
      <c r="D50" s="53"/>
      <c r="E50" s="53"/>
      <c r="F50" s="53"/>
      <c r="G50" s="53"/>
      <c r="H50" s="53"/>
      <c r="I50" s="53"/>
      <c r="J50" s="53"/>
      <c r="K50" s="53"/>
    </row>
  </sheetData>
  <mergeCells count="1">
    <mergeCell ref="B11:J12"/>
  </mergeCells>
  <hyperlinks>
    <hyperlink ref="E17" r:id="rId1" xr:uid="{00000000-0004-0000-2000-000001000000}"/>
    <hyperlink ref="E18" r:id="rId2" xr:uid="{62736775-EDEF-43E7-996E-F5642AFEBD0B}"/>
  </hyperlinks>
  <pageMargins left="0.7" right="0.7" top="0.75" bottom="0.75" header="0.3" footer="0.3"/>
  <pageSetup paperSize="9" orientation="portrait"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Tabelle33">
    <tabColor theme="5" tint="0.39997558519241921"/>
  </sheetPr>
  <dimension ref="B3:L18"/>
  <sheetViews>
    <sheetView workbookViewId="0">
      <selection activeCell="L17" sqref="L17"/>
    </sheetView>
  </sheetViews>
  <sheetFormatPr defaultColWidth="11.46875" defaultRowHeight="14.35" x14ac:dyDescent="0.5"/>
  <cols>
    <col min="2" max="2" width="27.64453125" bestFit="1" customWidth="1"/>
    <col min="12" max="12" width="20.17578125" bestFit="1" customWidth="1"/>
  </cols>
  <sheetData>
    <row r="3" spans="2:12" x14ac:dyDescent="0.5">
      <c r="C3" s="425">
        <v>2016</v>
      </c>
      <c r="D3" s="425"/>
      <c r="E3" s="425"/>
      <c r="F3" s="426">
        <v>2025</v>
      </c>
      <c r="G3" s="426"/>
      <c r="H3" s="426"/>
      <c r="I3" s="426">
        <v>2030</v>
      </c>
      <c r="J3" s="426"/>
      <c r="K3" s="426"/>
      <c r="L3" s="105"/>
    </row>
    <row r="4" spans="2:12" ht="18.350000000000001" thickBot="1" x14ac:dyDescent="0.65">
      <c r="B4" s="104" t="s">
        <v>556</v>
      </c>
      <c r="C4" s="106" t="s">
        <v>56</v>
      </c>
      <c r="D4" s="106" t="s">
        <v>57</v>
      </c>
      <c r="E4" s="106" t="s">
        <v>58</v>
      </c>
      <c r="F4" s="106" t="s">
        <v>56</v>
      </c>
      <c r="G4" s="106" t="s">
        <v>57</v>
      </c>
      <c r="H4" s="106" t="s">
        <v>58</v>
      </c>
      <c r="I4" s="106" t="s">
        <v>56</v>
      </c>
      <c r="J4" s="106" t="s">
        <v>57</v>
      </c>
      <c r="K4" s="106" t="s">
        <v>58</v>
      </c>
      <c r="L4" s="106" t="s">
        <v>59</v>
      </c>
    </row>
    <row r="5" spans="2:12" x14ac:dyDescent="0.5">
      <c r="B5" s="18" t="s">
        <v>255</v>
      </c>
      <c r="C5" s="81">
        <f>'Overview 2016 (in)'!D54</f>
        <v>280</v>
      </c>
      <c r="D5" s="19">
        <f>'Overview 2016 (in)'!E54</f>
        <v>150</v>
      </c>
      <c r="E5" s="20">
        <f>'Overview 2016 (in)'!F54</f>
        <v>215</v>
      </c>
      <c r="F5" s="81">
        <f t="shared" ref="F5:F15" si="0">IFERROR(C5*H5/E5,0)</f>
        <v>280</v>
      </c>
      <c r="G5" s="19">
        <f t="shared" ref="G5:G15" si="1">IFERROR(D5*H5/E5, 0)</f>
        <v>150</v>
      </c>
      <c r="H5" s="20">
        <f>E5</f>
        <v>215</v>
      </c>
      <c r="I5" s="81">
        <f>IFERROR(F5*K5/H5,0)</f>
        <v>280</v>
      </c>
      <c r="J5" s="19">
        <f>IFERROR(G5*K5/H5, 0)</f>
        <v>150</v>
      </c>
      <c r="K5" s="20">
        <f>H5</f>
        <v>215</v>
      </c>
      <c r="L5" s="21" t="s">
        <v>256</v>
      </c>
    </row>
    <row r="6" spans="2:12" x14ac:dyDescent="0.5">
      <c r="B6" s="3" t="s">
        <v>257</v>
      </c>
      <c r="C6" s="82">
        <f>'Overview 2016 (in)'!D55</f>
        <v>270</v>
      </c>
      <c r="D6" s="83">
        <f>'Overview 2016 (in)'!E55</f>
        <v>150</v>
      </c>
      <c r="E6" s="84">
        <f>'Overview 2016 (in)'!F55</f>
        <v>210</v>
      </c>
      <c r="F6" s="82">
        <f t="shared" si="0"/>
        <v>270</v>
      </c>
      <c r="G6" s="83">
        <f t="shared" si="1"/>
        <v>150</v>
      </c>
      <c r="H6" s="84">
        <f>E6</f>
        <v>210</v>
      </c>
      <c r="I6" s="82">
        <f t="shared" ref="I6:I15" si="2">IFERROR(F6*K6/H6,0)</f>
        <v>270</v>
      </c>
      <c r="J6" s="83">
        <f t="shared" ref="J6:J13" si="3">IFERROR(G6*K6/H6, 0)</f>
        <v>150</v>
      </c>
      <c r="K6" s="84">
        <f>H6</f>
        <v>210</v>
      </c>
      <c r="L6" s="22" t="s">
        <v>258</v>
      </c>
    </row>
    <row r="7" spans="2:12" x14ac:dyDescent="0.5">
      <c r="B7" s="18" t="s">
        <v>259</v>
      </c>
      <c r="C7" s="85">
        <f>'Overview 2016 (in)'!D56</f>
        <v>7500</v>
      </c>
      <c r="D7" s="23">
        <f>'Overview 2016 (in)'!E56</f>
        <v>1000</v>
      </c>
      <c r="E7" s="107">
        <f>'Overview 2016 (in)'!F56</f>
        <v>3000</v>
      </c>
      <c r="F7" s="85">
        <f t="shared" ca="1" si="0"/>
        <v>0</v>
      </c>
      <c r="G7" s="23">
        <f t="shared" ca="1" si="1"/>
        <v>0</v>
      </c>
      <c r="H7" s="107">
        <f ca="1">INDIRECT(ADDRESS(ROW($B6),COLUMN(E$4),1,,$B$4))</f>
        <v>0</v>
      </c>
      <c r="I7" s="85">
        <f t="shared" ca="1" si="2"/>
        <v>0</v>
      </c>
      <c r="J7" s="23">
        <f t="shared" ca="1" si="3"/>
        <v>0</v>
      </c>
      <c r="K7" s="107">
        <f ca="1">INDIRECT(ADDRESS(ROW($B6),COLUMN($F4),1,,$B$4))</f>
        <v>0</v>
      </c>
      <c r="L7" s="21" t="s">
        <v>105</v>
      </c>
    </row>
    <row r="8" spans="2:12" x14ac:dyDescent="0.5">
      <c r="B8" s="3" t="s">
        <v>260</v>
      </c>
      <c r="C8" s="86">
        <f>'Overview 2016 (in)'!D57</f>
        <v>22</v>
      </c>
      <c r="D8" s="87">
        <f>'Overview 2016 (in)'!E57</f>
        <v>8</v>
      </c>
      <c r="E8" s="109">
        <f>'Overview 2016 (in)'!F57</f>
        <v>15</v>
      </c>
      <c r="F8" s="86">
        <f t="shared" ca="1" si="0"/>
        <v>0</v>
      </c>
      <c r="G8" s="87">
        <f t="shared" ca="1" si="1"/>
        <v>0</v>
      </c>
      <c r="H8" s="109">
        <f ca="1">INDIRECT(ADDRESS(ROW($B7),COLUMN(E$4),1,,$B$4))</f>
        <v>0</v>
      </c>
      <c r="I8" s="86">
        <f t="shared" ca="1" si="2"/>
        <v>0</v>
      </c>
      <c r="J8" s="87">
        <f t="shared" ca="1" si="3"/>
        <v>0</v>
      </c>
      <c r="K8" s="109">
        <f ca="1">INDIRECT(ADDRESS(ROW($B7),COLUMN($F4),1,,$B$4))</f>
        <v>0</v>
      </c>
      <c r="L8" s="22" t="s">
        <v>64</v>
      </c>
    </row>
    <row r="9" spans="2:12" x14ac:dyDescent="0.5">
      <c r="B9" s="18" t="s">
        <v>81</v>
      </c>
      <c r="C9" s="85">
        <f>'Overview 2016 (in)'!D58</f>
        <v>100</v>
      </c>
      <c r="D9" s="23">
        <f>'Overview 2016 (in)'!E58</f>
        <v>100</v>
      </c>
      <c r="E9" s="24">
        <f>'Overview 2016 (in)'!F58</f>
        <v>100</v>
      </c>
      <c r="F9" s="85">
        <f t="shared" si="0"/>
        <v>100</v>
      </c>
      <c r="G9" s="23">
        <f t="shared" si="1"/>
        <v>100</v>
      </c>
      <c r="H9" s="24">
        <f>E9</f>
        <v>100</v>
      </c>
      <c r="I9" s="85">
        <f t="shared" si="2"/>
        <v>100</v>
      </c>
      <c r="J9" s="23">
        <f t="shared" si="3"/>
        <v>100</v>
      </c>
      <c r="K9" s="24">
        <f>H9</f>
        <v>100</v>
      </c>
      <c r="L9" s="21" t="s">
        <v>66</v>
      </c>
    </row>
    <row r="10" spans="2:12" x14ac:dyDescent="0.5">
      <c r="B10" s="3" t="s">
        <v>65</v>
      </c>
      <c r="C10" s="86">
        <f>'Overview 2016 (in)'!D59</f>
        <v>92</v>
      </c>
      <c r="D10" s="87">
        <f>'Overview 2016 (in)'!E59</f>
        <v>80</v>
      </c>
      <c r="E10" s="109">
        <f>'Overview 2016 (in)'!F59</f>
        <v>84</v>
      </c>
      <c r="F10" s="86">
        <f t="shared" ca="1" si="0"/>
        <v>0</v>
      </c>
      <c r="G10" s="87">
        <f t="shared" ca="1" si="1"/>
        <v>0</v>
      </c>
      <c r="H10" s="109">
        <f ca="1">INDIRECT(ADDRESS(ROW($B8),COLUMN(E$4),1,,$B$4))</f>
        <v>0</v>
      </c>
      <c r="I10" s="86">
        <f t="shared" ca="1" si="2"/>
        <v>0</v>
      </c>
      <c r="J10" s="87">
        <f t="shared" ca="1" si="3"/>
        <v>0</v>
      </c>
      <c r="K10" s="109">
        <f ca="1">INDIRECT(ADDRESS(ROW($B8),COLUMN($F4),1,,$B$4))</f>
        <v>0</v>
      </c>
      <c r="L10" s="22" t="s">
        <v>66</v>
      </c>
    </row>
    <row r="11" spans="2:12" x14ac:dyDescent="0.5">
      <c r="B11" s="18" t="s">
        <v>137</v>
      </c>
      <c r="C11" s="81">
        <f>'Overview 2016 (in)'!D60</f>
        <v>0.05</v>
      </c>
      <c r="D11" s="19">
        <f>'Overview 2016 (in)'!E60</f>
        <v>15</v>
      </c>
      <c r="E11" s="20">
        <f>'Overview 2016 (in)'!F60</f>
        <v>5</v>
      </c>
      <c r="F11" s="81">
        <f t="shared" si="0"/>
        <v>0.05</v>
      </c>
      <c r="G11" s="19">
        <f t="shared" si="1"/>
        <v>15</v>
      </c>
      <c r="H11" s="20">
        <f>E11</f>
        <v>5</v>
      </c>
      <c r="I11" s="81">
        <f t="shared" si="2"/>
        <v>0.05</v>
      </c>
      <c r="J11" s="19">
        <f t="shared" si="3"/>
        <v>15</v>
      </c>
      <c r="K11" s="20">
        <f>H11</f>
        <v>5</v>
      </c>
      <c r="L11" s="21" t="s">
        <v>261</v>
      </c>
    </row>
    <row r="12" spans="2:12" x14ac:dyDescent="0.5">
      <c r="B12" s="28" t="s">
        <v>262</v>
      </c>
      <c r="C12" s="82">
        <f>'Overview 2016 (in)'!D61</f>
        <v>0.1</v>
      </c>
      <c r="D12" s="83" t="str">
        <f>'Overview 2016 (in)'!E61</f>
        <v>&lt; 1</v>
      </c>
      <c r="E12" s="84">
        <f>'Overview 2016 (in)'!F61</f>
        <v>0.5</v>
      </c>
      <c r="F12" s="82">
        <f t="shared" si="0"/>
        <v>0.1</v>
      </c>
      <c r="G12" s="83">
        <f t="shared" si="1"/>
        <v>0</v>
      </c>
      <c r="H12" s="84">
        <f>E12</f>
        <v>0.5</v>
      </c>
      <c r="I12" s="82">
        <f t="shared" si="2"/>
        <v>0.1</v>
      </c>
      <c r="J12" s="83">
        <f t="shared" si="3"/>
        <v>0</v>
      </c>
      <c r="K12" s="84">
        <f>H12</f>
        <v>0.5</v>
      </c>
      <c r="L12" s="88" t="s">
        <v>265</v>
      </c>
    </row>
    <row r="13" spans="2:12" x14ac:dyDescent="0.5">
      <c r="B13" s="89" t="s">
        <v>266</v>
      </c>
      <c r="C13" s="90">
        <f>'Overview 2016 (in)'!D62</f>
        <v>0</v>
      </c>
      <c r="D13" s="25">
        <f>'Overview 2016 (in)'!E62</f>
        <v>0</v>
      </c>
      <c r="E13" s="26">
        <f>'Overview 2016 (in)'!F62</f>
        <v>0</v>
      </c>
      <c r="F13" s="90">
        <f t="shared" si="0"/>
        <v>0</v>
      </c>
      <c r="G13" s="25">
        <f t="shared" si="1"/>
        <v>0</v>
      </c>
      <c r="H13" s="26">
        <f>E13</f>
        <v>0</v>
      </c>
      <c r="I13" s="90">
        <f t="shared" si="2"/>
        <v>0</v>
      </c>
      <c r="J13" s="25">
        <f t="shared" si="3"/>
        <v>0</v>
      </c>
      <c r="K13" s="26">
        <f>H13</f>
        <v>0</v>
      </c>
      <c r="L13" s="21" t="s">
        <v>64</v>
      </c>
    </row>
    <row r="14" spans="2:12" x14ac:dyDescent="0.5">
      <c r="B14" s="28" t="s">
        <v>267</v>
      </c>
      <c r="C14" s="86">
        <f>'Overview 2016 (in)'!D63</f>
        <v>315</v>
      </c>
      <c r="D14" s="87">
        <f>'Overview 2016 (in)'!E63</f>
        <v>488</v>
      </c>
      <c r="E14" s="108">
        <f>'Overview 2016 (in)'!F63</f>
        <v>399</v>
      </c>
      <c r="F14" s="86">
        <f t="shared" ca="1" si="0"/>
        <v>241.57894736842104</v>
      </c>
      <c r="G14" s="87">
        <f t="shared" ca="1" si="1"/>
        <v>374.25563909774434</v>
      </c>
      <c r="H14" s="108">
        <f ca="1">IF(CELL("format",INDIRECT(ADDRESS(ROW($B4),COLUMN(E$4),1,,$B$4)))="W0-",INDIRECT(ADDRESS(ROW($B4),COLUMN(E$4),1,,$B$4))*'Overview 2016 (in)'!$O$7,INDIRECT(ADDRESS(ROW($B4),COLUMN(E$4),1,,$B$4)))</f>
        <v>306</v>
      </c>
      <c r="I14" s="86">
        <f t="shared" ca="1" si="2"/>
        <v>208.42105263157893</v>
      </c>
      <c r="J14" s="87">
        <f t="shared" ref="J14:J15" ca="1" si="4">IFERROR(G14*K14/H14,0)</f>
        <v>322.88721804511277</v>
      </c>
      <c r="K14" s="108">
        <f ca="1">IF(CELL("format",INDIRECT(ADDRESS(ROW($B4),COLUMN($F4),1,,$B$4)))="W0-",INDIRECT(ADDRESS(ROW($B4),COLUMN($F4),1,,$B$4))*'Overview 2016 (in)'!$O$7,INDIRECT(ADDRESS(ROW($B4),COLUMN($F4),1,,$B$4)))</f>
        <v>264</v>
      </c>
      <c r="L14" s="88" t="s">
        <v>268</v>
      </c>
    </row>
    <row r="15" spans="2:12" x14ac:dyDescent="0.5">
      <c r="B15" s="89" t="s">
        <v>269</v>
      </c>
      <c r="C15" s="23">
        <f>'Overview 2016 (in)'!D64</f>
        <v>0</v>
      </c>
      <c r="D15" s="23">
        <f>'Overview 2016 (in)'!E64</f>
        <v>0</v>
      </c>
      <c r="E15" s="107">
        <f>'Overview 2016 (in)'!F64</f>
        <v>0</v>
      </c>
      <c r="F15" s="23">
        <f t="shared" ca="1" si="0"/>
        <v>0</v>
      </c>
      <c r="G15" s="23">
        <f t="shared" ca="1" si="1"/>
        <v>0</v>
      </c>
      <c r="H15" s="107">
        <f ca="1">IF(CELL("format",INDIRECT(ADDRESS(ROW($B5),COLUMN(E$4),1,,$B$4)))="W0-",INDIRECT(ADDRESS(ROW($B5),COLUMN(E$4),1,,$B$4))*'Overview 2016 (in)'!$O$7,INDIRECT(ADDRESS(ROW($B5),COLUMN(E$4),1,,$B$4)))</f>
        <v>0</v>
      </c>
      <c r="I15" s="23">
        <f t="shared" ca="1" si="2"/>
        <v>0</v>
      </c>
      <c r="J15" s="23">
        <f t="shared" ca="1" si="4"/>
        <v>0</v>
      </c>
      <c r="K15" s="107">
        <f ca="1">IF(CELL("format",INDIRECT(ADDRESS(ROW($B5),COLUMN($F4),1,,$B$4)))="W0-",INDIRECT(ADDRESS(ROW($B5),COLUMN($F4),1,,$B$4))*'Overview 2016 (in)'!$O$7,INDIRECT(ADDRESS(ROW($B5),COLUMN($F4),1,,$B$4)))</f>
        <v>0</v>
      </c>
      <c r="L15" s="21" t="s">
        <v>61</v>
      </c>
    </row>
    <row r="16" spans="2:12" ht="14.7" thickBot="1" x14ac:dyDescent="0.55000000000000004">
      <c r="B16" s="245" t="s">
        <v>51</v>
      </c>
      <c r="C16" s="251">
        <f>'NaNiCl (calc)'!C9</f>
        <v>6</v>
      </c>
      <c r="D16" s="251">
        <f>'NaNiCl (calc)'!C9</f>
        <v>6</v>
      </c>
      <c r="E16" s="252">
        <f>AVERAGE(C16:D16)</f>
        <v>6</v>
      </c>
      <c r="F16" s="251">
        <f>C16</f>
        <v>6</v>
      </c>
      <c r="G16" s="251">
        <f>D16</f>
        <v>6</v>
      </c>
      <c r="H16" s="252">
        <f>E16</f>
        <v>6</v>
      </c>
      <c r="I16" s="251">
        <f>C16</f>
        <v>6</v>
      </c>
      <c r="J16" s="251">
        <f>D16</f>
        <v>6</v>
      </c>
      <c r="K16" s="252">
        <f>H16</f>
        <v>6</v>
      </c>
      <c r="L16" s="135" t="s">
        <v>74</v>
      </c>
    </row>
    <row r="17" spans="2:3" x14ac:dyDescent="0.5">
      <c r="C17" s="111"/>
    </row>
    <row r="18" spans="2:3" ht="18" x14ac:dyDescent="0.6">
      <c r="B18" s="1"/>
    </row>
  </sheetData>
  <mergeCells count="3">
    <mergeCell ref="C3:E3"/>
    <mergeCell ref="F3:H3"/>
    <mergeCell ref="I3:K3"/>
  </mergeCells>
  <pageMargins left="0.7" right="0.7" top="0.78740157499999996" bottom="0.78740157499999996"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Tabelle34">
    <tabColor theme="5" tint="0.39997558519241921"/>
  </sheetPr>
  <dimension ref="A2:V56"/>
  <sheetViews>
    <sheetView workbookViewId="0">
      <selection activeCell="N40" sqref="N40"/>
    </sheetView>
  </sheetViews>
  <sheetFormatPr defaultColWidth="9.17578125" defaultRowHeight="14.35" x14ac:dyDescent="0.5"/>
  <cols>
    <col min="2" max="2" width="26.52734375" customWidth="1"/>
    <col min="3" max="7" width="10.64453125" customWidth="1"/>
    <col min="8" max="8" width="14.17578125" customWidth="1"/>
    <col min="9" max="9" width="20.29296875" customWidth="1"/>
    <col min="10" max="10" width="13.8203125" customWidth="1"/>
    <col min="11" max="16" width="12.64453125" customWidth="1"/>
  </cols>
  <sheetData>
    <row r="2" spans="2:22" ht="18.350000000000001" thickBot="1" x14ac:dyDescent="0.65">
      <c r="B2" s="1" t="s">
        <v>243</v>
      </c>
      <c r="C2" s="9"/>
      <c r="K2" s="1" t="s">
        <v>286</v>
      </c>
    </row>
    <row r="3" spans="2:22" x14ac:dyDescent="0.5">
      <c r="B3" s="4"/>
      <c r="C3" s="4">
        <v>2016</v>
      </c>
      <c r="D3" s="29">
        <v>2020</v>
      </c>
      <c r="E3" s="29">
        <v>2025</v>
      </c>
      <c r="F3" s="29">
        <v>2030</v>
      </c>
      <c r="G3" s="4" t="s">
        <v>59</v>
      </c>
      <c r="H3" s="3"/>
      <c r="I3" s="4" t="s">
        <v>287</v>
      </c>
      <c r="J3" s="4" t="s">
        <v>288</v>
      </c>
      <c r="K3" s="4" t="s">
        <v>289</v>
      </c>
      <c r="L3" s="4" t="s">
        <v>290</v>
      </c>
      <c r="O3" s="3"/>
      <c r="P3" s="3"/>
    </row>
    <row r="4" spans="2:22" x14ac:dyDescent="0.5">
      <c r="B4" s="3" t="s">
        <v>267</v>
      </c>
      <c r="C4" s="32">
        <f>'Overview 2016 (in)'!I63</f>
        <v>525</v>
      </c>
      <c r="D4" s="32">
        <f>AVERAGE(D23,D30,D37,D44,D51)</f>
        <v>395.94377422893632</v>
      </c>
      <c r="E4" s="32">
        <f>AVERAGE(F23,F30,F37,F44,F51)</f>
        <v>283.47454000065056</v>
      </c>
      <c r="F4" s="32">
        <v>200</v>
      </c>
      <c r="G4" t="s">
        <v>268</v>
      </c>
      <c r="I4" s="35" t="s">
        <v>350</v>
      </c>
      <c r="J4" t="s">
        <v>291</v>
      </c>
      <c r="K4" t="s">
        <v>291</v>
      </c>
      <c r="L4">
        <v>5</v>
      </c>
    </row>
    <row r="5" spans="2:22" x14ac:dyDescent="0.5">
      <c r="B5" s="3" t="s">
        <v>269</v>
      </c>
      <c r="C5" s="32">
        <f>'Overview 2016 (in)'!I64</f>
        <v>0</v>
      </c>
      <c r="D5" s="32">
        <v>122</v>
      </c>
      <c r="E5" s="32">
        <v>78</v>
      </c>
      <c r="F5" s="32">
        <v>50</v>
      </c>
      <c r="G5" t="s">
        <v>61</v>
      </c>
      <c r="I5" s="35" t="s">
        <v>350</v>
      </c>
      <c r="J5">
        <v>1</v>
      </c>
      <c r="K5">
        <v>1</v>
      </c>
      <c r="L5">
        <v>1</v>
      </c>
    </row>
    <row r="6" spans="2:22" x14ac:dyDescent="0.5">
      <c r="B6" s="3" t="s">
        <v>259</v>
      </c>
      <c r="C6">
        <f>'Overview 2016 (in)'!I56</f>
        <v>5000</v>
      </c>
      <c r="D6">
        <v>5500</v>
      </c>
      <c r="E6">
        <v>6500</v>
      </c>
      <c r="F6">
        <v>7500</v>
      </c>
      <c r="G6" t="s">
        <v>105</v>
      </c>
      <c r="I6" s="35" t="s">
        <v>350</v>
      </c>
      <c r="J6" t="s">
        <v>291</v>
      </c>
      <c r="K6" t="s">
        <v>291</v>
      </c>
      <c r="L6" t="s">
        <v>291</v>
      </c>
    </row>
    <row r="7" spans="2:22" x14ac:dyDescent="0.5">
      <c r="B7" s="3" t="s">
        <v>260</v>
      </c>
      <c r="C7">
        <f>'Overview 2016 (in)'!I57</f>
        <v>17</v>
      </c>
      <c r="D7">
        <v>19</v>
      </c>
      <c r="E7">
        <v>22</v>
      </c>
      <c r="F7">
        <v>25</v>
      </c>
      <c r="G7" t="s">
        <v>64</v>
      </c>
      <c r="I7" s="35" t="s">
        <v>350</v>
      </c>
      <c r="J7" t="s">
        <v>291</v>
      </c>
      <c r="K7" t="s">
        <v>291</v>
      </c>
      <c r="L7" t="s">
        <v>291</v>
      </c>
    </row>
    <row r="8" spans="2:22" x14ac:dyDescent="0.5">
      <c r="B8" s="3" t="s">
        <v>65</v>
      </c>
      <c r="C8">
        <f>'Overview 2016 (in)'!I59</f>
        <v>80</v>
      </c>
      <c r="D8">
        <v>81</v>
      </c>
      <c r="E8" s="32">
        <v>83</v>
      </c>
      <c r="F8">
        <v>85</v>
      </c>
      <c r="G8" t="s">
        <v>66</v>
      </c>
      <c r="I8" s="35" t="s">
        <v>350</v>
      </c>
      <c r="J8" t="s">
        <v>291</v>
      </c>
      <c r="K8" t="s">
        <v>291</v>
      </c>
      <c r="L8" t="s">
        <v>291</v>
      </c>
    </row>
    <row r="9" spans="2:22" ht="14.7" thickBot="1" x14ac:dyDescent="0.55000000000000004">
      <c r="B9" s="5" t="s">
        <v>51</v>
      </c>
      <c r="C9" s="6">
        <v>6</v>
      </c>
      <c r="D9" s="6">
        <v>6</v>
      </c>
      <c r="E9" s="33">
        <v>6</v>
      </c>
      <c r="F9" s="6">
        <v>6</v>
      </c>
      <c r="G9" s="6" t="s">
        <v>74</v>
      </c>
      <c r="I9" s="36">
        <v>5</v>
      </c>
      <c r="J9" s="6">
        <v>5</v>
      </c>
      <c r="K9" s="6">
        <v>5</v>
      </c>
      <c r="L9" s="6">
        <v>5</v>
      </c>
    </row>
    <row r="10" spans="2:22" ht="15" customHeight="1" x14ac:dyDescent="0.55000000000000004">
      <c r="B10" s="77"/>
      <c r="C10" s="78"/>
    </row>
    <row r="11" spans="2:22" ht="15" customHeight="1" x14ac:dyDescent="0.5">
      <c r="K11" s="2" t="s">
        <v>294</v>
      </c>
    </row>
    <row r="12" spans="2:22" ht="18.350000000000001" thickBot="1" x14ac:dyDescent="0.65">
      <c r="B12" s="1" t="s">
        <v>295</v>
      </c>
      <c r="K12" s="11" t="s">
        <v>296</v>
      </c>
    </row>
    <row r="13" spans="2:22" x14ac:dyDescent="0.5">
      <c r="B13" s="7" t="s">
        <v>297</v>
      </c>
      <c r="C13" s="7" t="s">
        <v>298</v>
      </c>
      <c r="D13" s="7" t="s">
        <v>299</v>
      </c>
      <c r="E13" s="7" t="s">
        <v>300</v>
      </c>
      <c r="F13" s="46" t="s">
        <v>553</v>
      </c>
      <c r="G13" s="7"/>
      <c r="H13" s="46" t="s">
        <v>84</v>
      </c>
      <c r="K13" s="40" t="s">
        <v>302</v>
      </c>
      <c r="L13" s="40"/>
    </row>
    <row r="14" spans="2:22" x14ac:dyDescent="0.5">
      <c r="B14">
        <v>1</v>
      </c>
      <c r="C14" t="s">
        <v>303</v>
      </c>
      <c r="D14" t="s">
        <v>304</v>
      </c>
      <c r="E14" s="164" t="s">
        <v>305</v>
      </c>
      <c r="F14" s="45" t="s">
        <v>306</v>
      </c>
      <c r="H14" s="99" t="s">
        <v>557</v>
      </c>
    </row>
    <row r="15" spans="2:22" x14ac:dyDescent="0.5">
      <c r="B15">
        <v>2</v>
      </c>
      <c r="C15" t="s">
        <v>307</v>
      </c>
      <c r="D15" t="s">
        <v>308</v>
      </c>
      <c r="E15" s="164" t="s">
        <v>309</v>
      </c>
      <c r="F15" s="45" t="s">
        <v>310</v>
      </c>
      <c r="H15" s="99" t="s">
        <v>554</v>
      </c>
    </row>
    <row r="16" spans="2:22" x14ac:dyDescent="0.5">
      <c r="B16">
        <v>3</v>
      </c>
      <c r="C16" t="s">
        <v>311</v>
      </c>
      <c r="D16" t="s">
        <v>312</v>
      </c>
      <c r="E16" s="164" t="s">
        <v>356</v>
      </c>
      <c r="F16" s="80" t="s">
        <v>314</v>
      </c>
      <c r="H16" s="99" t="s">
        <v>558</v>
      </c>
      <c r="N16" s="53"/>
      <c r="O16" s="53"/>
      <c r="P16" s="53"/>
      <c r="Q16" s="53"/>
      <c r="R16" s="53"/>
      <c r="S16" s="53"/>
      <c r="T16" s="53"/>
      <c r="U16" s="53"/>
      <c r="V16" s="53"/>
    </row>
    <row r="17" spans="1:22" x14ac:dyDescent="0.5">
      <c r="B17">
        <v>4</v>
      </c>
      <c r="C17" t="s">
        <v>358</v>
      </c>
      <c r="D17" t="s">
        <v>359</v>
      </c>
      <c r="E17" s="164" t="s">
        <v>360</v>
      </c>
      <c r="F17" s="80" t="s">
        <v>361</v>
      </c>
      <c r="H17" s="99" t="s">
        <v>559</v>
      </c>
      <c r="N17" s="53"/>
      <c r="O17" s="53"/>
      <c r="P17" s="53"/>
      <c r="Q17" s="53"/>
      <c r="R17" s="53"/>
      <c r="S17" s="53"/>
      <c r="T17" s="53"/>
      <c r="U17" s="53"/>
      <c r="V17" s="53"/>
    </row>
    <row r="18" spans="1:22" x14ac:dyDescent="0.5">
      <c r="B18">
        <v>5</v>
      </c>
      <c r="C18" t="s">
        <v>506</v>
      </c>
      <c r="D18" t="s">
        <v>336</v>
      </c>
      <c r="E18" s="164" t="s">
        <v>507</v>
      </c>
      <c r="F18" s="80" t="s">
        <v>508</v>
      </c>
      <c r="H18" s="99" t="s">
        <v>554</v>
      </c>
      <c r="N18" s="53"/>
      <c r="O18" s="53"/>
      <c r="P18" s="53"/>
      <c r="Q18" s="53"/>
      <c r="R18" s="53"/>
      <c r="S18" s="53"/>
      <c r="T18" s="53"/>
      <c r="U18" s="53"/>
      <c r="V18" s="53"/>
    </row>
    <row r="19" spans="1:22" x14ac:dyDescent="0.5">
      <c r="P19" s="53"/>
      <c r="Q19" s="53"/>
      <c r="R19" s="53"/>
      <c r="S19" s="53"/>
      <c r="T19" s="53"/>
      <c r="U19" s="53"/>
      <c r="V19" s="53"/>
    </row>
    <row r="20" spans="1:22" x14ac:dyDescent="0.5">
      <c r="A20" s="68" t="s">
        <v>319</v>
      </c>
      <c r="P20" s="53"/>
      <c r="Q20" s="53"/>
      <c r="R20" s="53"/>
      <c r="S20" s="53"/>
      <c r="T20" s="53"/>
      <c r="U20" s="53"/>
      <c r="V20" s="53"/>
    </row>
    <row r="21" spans="1:22" ht="14.7" thickBot="1" x14ac:dyDescent="0.55000000000000004">
      <c r="A21" s="68" t="s">
        <v>320</v>
      </c>
      <c r="N21" s="53"/>
      <c r="O21" s="53"/>
      <c r="P21" s="53"/>
      <c r="Q21" s="53"/>
      <c r="R21" s="53"/>
      <c r="S21" s="53"/>
      <c r="T21" s="53"/>
      <c r="U21" s="53"/>
      <c r="V21" s="53"/>
    </row>
    <row r="22" spans="1:22" x14ac:dyDescent="0.5">
      <c r="A22" s="3" t="s">
        <v>321</v>
      </c>
      <c r="B22" s="4"/>
      <c r="C22" s="4">
        <v>2016</v>
      </c>
      <c r="D22" s="29">
        <v>2020</v>
      </c>
      <c r="E22" s="4">
        <v>2023</v>
      </c>
      <c r="F22" s="29">
        <v>2025</v>
      </c>
      <c r="G22" s="29">
        <v>2030</v>
      </c>
      <c r="H22" s="4">
        <v>2033</v>
      </c>
      <c r="I22" s="4" t="s">
        <v>59</v>
      </c>
      <c r="J22" s="16" t="s">
        <v>322</v>
      </c>
      <c r="K22" s="4" t="s">
        <v>323</v>
      </c>
      <c r="N22" s="53"/>
      <c r="O22" s="72"/>
      <c r="P22" s="72"/>
      <c r="Q22" s="72"/>
      <c r="R22" s="72"/>
      <c r="S22" s="72"/>
      <c r="T22" s="53"/>
      <c r="U22" s="53"/>
      <c r="V22" s="53"/>
    </row>
    <row r="23" spans="1:22" x14ac:dyDescent="0.5">
      <c r="B23" s="3" t="s">
        <v>267</v>
      </c>
      <c r="C23" s="32">
        <f>C4</f>
        <v>525</v>
      </c>
      <c r="D23" s="54">
        <f>$C23*(1-$J23)^(D$22-$C$22)</f>
        <v>365.50256503386885</v>
      </c>
      <c r="E23" s="39"/>
      <c r="F23" s="54">
        <f>$C23*(1-$J23)^(F$22-$C$22)</f>
        <v>232.43650480216411</v>
      </c>
      <c r="G23" s="58">
        <f>115*Financials!D5</f>
        <v>147.81491002570695</v>
      </c>
      <c r="H23" s="39"/>
      <c r="I23" t="s">
        <v>268</v>
      </c>
      <c r="J23" s="168">
        <f>1-(G23/C23)^(1/(G$22-C$22))</f>
        <v>8.6554203858877576E-2</v>
      </c>
      <c r="K23" s="44"/>
      <c r="N23" s="53"/>
      <c r="O23" s="74"/>
      <c r="P23" s="74"/>
      <c r="Q23" s="74"/>
      <c r="R23" s="74"/>
      <c r="S23" s="53"/>
      <c r="T23" s="53"/>
      <c r="U23" s="53"/>
      <c r="V23" s="53"/>
    </row>
    <row r="24" spans="1:22" x14ac:dyDescent="0.5">
      <c r="B24" s="3" t="s">
        <v>269</v>
      </c>
      <c r="C24" s="32">
        <f>C5</f>
        <v>0</v>
      </c>
      <c r="D24" s="54">
        <v>0</v>
      </c>
      <c r="E24" s="39"/>
      <c r="F24" s="54">
        <v>0</v>
      </c>
      <c r="G24" s="58">
        <f>50*Financials!D5</f>
        <v>64.267352185089976</v>
      </c>
      <c r="H24" s="39"/>
      <c r="I24" t="s">
        <v>61</v>
      </c>
      <c r="J24" s="168">
        <v>0</v>
      </c>
      <c r="K24" s="44"/>
      <c r="N24" s="53"/>
      <c r="O24" s="74"/>
      <c r="P24" s="74"/>
      <c r="Q24" s="74"/>
      <c r="R24" s="74"/>
      <c r="S24" s="53"/>
      <c r="T24" s="53"/>
      <c r="U24" s="53"/>
      <c r="V24" s="53"/>
    </row>
    <row r="25" spans="1:22" x14ac:dyDescent="0.5">
      <c r="B25" s="3" t="s">
        <v>259</v>
      </c>
      <c r="C25">
        <f>C6</f>
        <v>5000</v>
      </c>
      <c r="D25" s="54">
        <f>$C25*(1-$J25)^(D$22-$C$22)</f>
        <v>5614.121309967757</v>
      </c>
      <c r="E25" s="39"/>
      <c r="F25" s="54">
        <f>$C25*(1-$J25)^(F$22-$C$22)</f>
        <v>6488.906674067538</v>
      </c>
      <c r="G25" s="58">
        <v>7500</v>
      </c>
      <c r="H25" s="40"/>
      <c r="I25" t="s">
        <v>105</v>
      </c>
      <c r="J25" s="168">
        <f>1-(G25/C25)^(1/(G$22-C$22))</f>
        <v>-2.9385264450122461E-2</v>
      </c>
      <c r="K25" s="44"/>
      <c r="N25" s="53"/>
      <c r="O25" s="70"/>
      <c r="P25" s="70"/>
      <c r="Q25" s="70"/>
      <c r="R25" s="53"/>
      <c r="S25" s="53"/>
      <c r="T25" s="53"/>
      <c r="U25" s="53"/>
      <c r="V25" s="53"/>
    </row>
    <row r="26" spans="1:22" x14ac:dyDescent="0.5">
      <c r="B26" s="3" t="s">
        <v>260</v>
      </c>
      <c r="C26">
        <f>C7</f>
        <v>17</v>
      </c>
      <c r="D26" s="54">
        <f>$C26*(1-$J26)^(D$22-$C$22)</f>
        <v>18.980319457088434</v>
      </c>
      <c r="E26" s="39"/>
      <c r="F26" s="54">
        <f>$C26*(1-$J26)^(F$22-$C$22)</f>
        <v>21.783204227734966</v>
      </c>
      <c r="G26" s="58">
        <v>25</v>
      </c>
      <c r="H26" s="40"/>
      <c r="I26" t="s">
        <v>64</v>
      </c>
      <c r="J26" s="168">
        <f>1-(G26/C26)^(1/(G$22-C$22))</f>
        <v>-2.7930255675723714E-2</v>
      </c>
      <c r="K26" s="44"/>
      <c r="N26" s="53"/>
      <c r="O26" s="70"/>
      <c r="P26" s="70"/>
      <c r="Q26" s="70"/>
      <c r="R26" s="53"/>
      <c r="S26" s="53"/>
      <c r="T26" s="53"/>
      <c r="U26" s="53"/>
      <c r="V26" s="53"/>
    </row>
    <row r="27" spans="1:22" ht="14.7" thickBot="1" x14ac:dyDescent="0.55000000000000004">
      <c r="B27" s="5" t="s">
        <v>65</v>
      </c>
      <c r="C27" s="6">
        <f>C8</f>
        <v>80</v>
      </c>
      <c r="D27" s="55">
        <f>$C27*(1-$J27)^(D$22-$C$22)</f>
        <v>81.397776360180245</v>
      </c>
      <c r="E27" s="41"/>
      <c r="F27" s="55">
        <f>$C27*(1-$J27)^(F$22-$C$22)</f>
        <v>83.179390419834945</v>
      </c>
      <c r="G27" s="59">
        <v>85</v>
      </c>
      <c r="H27" s="42"/>
      <c r="I27" s="6" t="s">
        <v>66</v>
      </c>
      <c r="J27" s="169">
        <f>1-(G27/C27)^(1/(G$22-C$22))</f>
        <v>-4.3397195574768066E-3</v>
      </c>
      <c r="K27" s="166"/>
      <c r="N27" s="53"/>
      <c r="O27" s="70"/>
      <c r="P27" s="70"/>
      <c r="Q27" s="70"/>
      <c r="R27" s="53"/>
      <c r="S27" s="53"/>
      <c r="T27" s="53"/>
      <c r="U27" s="53"/>
      <c r="V27" s="53"/>
    </row>
    <row r="28" spans="1:22" ht="14.7" thickBot="1" x14ac:dyDescent="0.55000000000000004">
      <c r="J28" s="168"/>
      <c r="K28" s="44"/>
      <c r="N28" s="53"/>
      <c r="O28" s="53"/>
      <c r="P28" s="53"/>
      <c r="Q28" s="53"/>
      <c r="R28" s="53"/>
      <c r="S28" s="53"/>
      <c r="T28" s="53"/>
      <c r="U28" s="53"/>
      <c r="V28" s="53"/>
    </row>
    <row r="29" spans="1:22" x14ac:dyDescent="0.5">
      <c r="A29" s="3" t="s">
        <v>325</v>
      </c>
      <c r="B29" s="4"/>
      <c r="C29" s="4">
        <v>2016</v>
      </c>
      <c r="D29" s="29">
        <v>2020</v>
      </c>
      <c r="E29" s="4">
        <v>2023</v>
      </c>
      <c r="F29" s="29">
        <v>2025</v>
      </c>
      <c r="G29" s="29">
        <v>2030</v>
      </c>
      <c r="H29" s="4">
        <v>2033</v>
      </c>
      <c r="I29" s="4" t="s">
        <v>59</v>
      </c>
      <c r="J29" s="170"/>
      <c r="K29" s="167"/>
      <c r="N29" s="53"/>
      <c r="O29" s="72"/>
      <c r="P29" s="72"/>
      <c r="Q29" s="72"/>
      <c r="R29" s="72"/>
      <c r="S29" s="72"/>
      <c r="T29" s="53"/>
      <c r="U29" s="53"/>
      <c r="V29" s="53"/>
    </row>
    <row r="30" spans="1:22" x14ac:dyDescent="0.5">
      <c r="B30" s="3" t="s">
        <v>267</v>
      </c>
      <c r="C30" s="32">
        <f>C4</f>
        <v>525</v>
      </c>
      <c r="D30" s="54">
        <f>$C30*(1-$J30)^(D$22-$C$22)</f>
        <v>404.05162977917263</v>
      </c>
      <c r="E30" s="32">
        <f>250*Financials!D7</f>
        <v>332.00531208499336</v>
      </c>
      <c r="F30" s="54">
        <f>$E30*(1-$K30)^(F$22-$E$22)</f>
        <v>289.02741145289644</v>
      </c>
      <c r="G30" s="54">
        <f>$E30*(1-$K30)^(G$22-$E$22)</f>
        <v>204.37324258713747</v>
      </c>
      <c r="H30" s="32">
        <f>125*Financials!D7</f>
        <v>166.00265604249668</v>
      </c>
      <c r="I30" t="s">
        <v>268</v>
      </c>
      <c r="J30" s="168">
        <f>1-(E30/C30)^(1/(E$22-C$22))</f>
        <v>6.3367140541060407E-2</v>
      </c>
      <c r="K30" s="44">
        <f>1-(H30/E30)^(1/(H$22-E$22))</f>
        <v>6.696700846319259E-2</v>
      </c>
      <c r="N30" s="53"/>
      <c r="O30" s="74"/>
      <c r="P30" s="74"/>
      <c r="Q30" s="74"/>
      <c r="R30" s="74"/>
      <c r="S30" s="53"/>
      <c r="T30" s="53"/>
      <c r="U30" s="53"/>
      <c r="V30" s="53"/>
    </row>
    <row r="31" spans="1:22" x14ac:dyDescent="0.5">
      <c r="B31" s="3" t="s">
        <v>269</v>
      </c>
      <c r="C31" s="32">
        <f>C5</f>
        <v>0</v>
      </c>
      <c r="D31" s="63"/>
      <c r="E31" s="39"/>
      <c r="F31" s="63"/>
      <c r="G31" s="63"/>
      <c r="H31" s="39"/>
      <c r="I31" t="s">
        <v>61</v>
      </c>
      <c r="J31" s="168"/>
      <c r="K31" s="44"/>
      <c r="N31" s="53"/>
      <c r="O31" s="74"/>
      <c r="P31" s="74"/>
      <c r="Q31" s="74"/>
      <c r="R31" s="74"/>
      <c r="S31" s="53"/>
      <c r="T31" s="53"/>
      <c r="U31" s="53"/>
      <c r="V31" s="53"/>
    </row>
    <row r="32" spans="1:22" x14ac:dyDescent="0.5">
      <c r="B32" s="3" t="s">
        <v>259</v>
      </c>
      <c r="C32">
        <f>C6</f>
        <v>5000</v>
      </c>
      <c r="D32" s="63"/>
      <c r="E32" s="39"/>
      <c r="F32" s="63"/>
      <c r="G32" s="63"/>
      <c r="H32" s="40"/>
      <c r="I32" t="s">
        <v>105</v>
      </c>
      <c r="J32" s="168"/>
      <c r="K32" s="44"/>
      <c r="N32" s="53"/>
      <c r="O32" s="70"/>
      <c r="P32" s="70"/>
      <c r="Q32" s="70"/>
      <c r="R32" s="53"/>
      <c r="S32" s="53"/>
      <c r="T32" s="53"/>
      <c r="U32" s="53"/>
      <c r="V32" s="53"/>
    </row>
    <row r="33" spans="1:22" x14ac:dyDescent="0.5">
      <c r="B33" s="3" t="s">
        <v>260</v>
      </c>
      <c r="C33">
        <f>C7</f>
        <v>17</v>
      </c>
      <c r="D33" s="63"/>
      <c r="E33" s="39"/>
      <c r="F33" s="63"/>
      <c r="G33" s="63"/>
      <c r="H33" s="40"/>
      <c r="I33" t="s">
        <v>64</v>
      </c>
      <c r="J33" s="168">
        <f>1-(E33/C33)^(1/(E$22-C$22))</f>
        <v>1</v>
      </c>
      <c r="K33" s="44"/>
      <c r="N33" s="53"/>
      <c r="O33" s="70"/>
      <c r="P33" s="70"/>
      <c r="Q33" s="70"/>
      <c r="R33" s="53"/>
      <c r="S33" s="53"/>
      <c r="T33" s="53"/>
      <c r="U33" s="53"/>
      <c r="V33" s="53"/>
    </row>
    <row r="34" spans="1:22" ht="14.7" thickBot="1" x14ac:dyDescent="0.55000000000000004">
      <c r="B34" s="5" t="s">
        <v>65</v>
      </c>
      <c r="C34" s="6">
        <f>C8</f>
        <v>80</v>
      </c>
      <c r="D34" s="55">
        <f>$C34*(1-$J34)^(D$22-$C$22)</f>
        <v>77.103407831228878</v>
      </c>
      <c r="E34" s="33">
        <v>75</v>
      </c>
      <c r="F34" s="55">
        <f>$E34*(1-$K34)^(F$22-$E$22)</f>
        <v>75</v>
      </c>
      <c r="G34" s="55">
        <f>$E34*(1-$K34)^(G$22-$E$22)</f>
        <v>75</v>
      </c>
      <c r="H34" s="6">
        <v>75</v>
      </c>
      <c r="I34" s="6" t="s">
        <v>66</v>
      </c>
      <c r="J34" s="169">
        <f>1-(E34/C34)^(1/(E$22-C$22))</f>
        <v>9.1774168018654567E-3</v>
      </c>
      <c r="K34" s="166">
        <f>1-(H34/E34)^(1/(H$22-E$22))</f>
        <v>0</v>
      </c>
      <c r="N34" s="53"/>
      <c r="O34" s="70"/>
      <c r="P34" s="70"/>
      <c r="Q34" s="70"/>
      <c r="R34" s="53"/>
      <c r="S34" s="53"/>
      <c r="T34" s="53"/>
      <c r="U34" s="53"/>
      <c r="V34" s="53"/>
    </row>
    <row r="35" spans="1:22" ht="14.7" thickBot="1" x14ac:dyDescent="0.55000000000000004">
      <c r="J35" s="168"/>
      <c r="K35" s="44"/>
      <c r="N35" s="53"/>
      <c r="O35" s="53"/>
      <c r="P35" s="53"/>
      <c r="Q35" s="53"/>
      <c r="R35" s="53"/>
      <c r="S35" s="53"/>
      <c r="T35" s="53"/>
      <c r="U35" s="53"/>
      <c r="V35" s="53"/>
    </row>
    <row r="36" spans="1:22" x14ac:dyDescent="0.5">
      <c r="A36" s="3" t="s">
        <v>326</v>
      </c>
      <c r="B36" s="4"/>
      <c r="C36" s="4">
        <v>2016</v>
      </c>
      <c r="D36" s="29">
        <v>2020</v>
      </c>
      <c r="E36" s="4">
        <v>2023</v>
      </c>
      <c r="F36" s="29">
        <v>2025</v>
      </c>
      <c r="G36" s="29">
        <v>2030</v>
      </c>
      <c r="H36" s="4">
        <v>2050</v>
      </c>
      <c r="I36" s="4" t="s">
        <v>59</v>
      </c>
      <c r="J36" s="170"/>
      <c r="K36" s="167"/>
      <c r="N36" s="53"/>
      <c r="O36" s="53"/>
      <c r="P36" s="53"/>
      <c r="Q36" s="53"/>
      <c r="R36" s="53"/>
      <c r="S36" s="53"/>
      <c r="T36" s="53"/>
      <c r="U36" s="53"/>
      <c r="V36" s="53"/>
    </row>
    <row r="37" spans="1:22" x14ac:dyDescent="0.5">
      <c r="B37" s="3" t="s">
        <v>267</v>
      </c>
      <c r="C37" s="32">
        <f>C4</f>
        <v>525</v>
      </c>
      <c r="D37" s="54">
        <f>$C37*(1-$J37)^(D$22-$C$22)</f>
        <v>276.48141730389068</v>
      </c>
      <c r="E37" s="32">
        <f>154*Financials!D8</f>
        <v>170.9211986681465</v>
      </c>
      <c r="F37" s="54">
        <f>$E37*(1-$K37)^(F$36-$E$36)</f>
        <v>166.60109030250538</v>
      </c>
      <c r="G37" s="54">
        <f>$E37*(1-$K37)^(G$36-$E$36)</f>
        <v>156.27251903186465</v>
      </c>
      <c r="H37" s="32">
        <f>109*Financials!D8</f>
        <v>120.97669256381798</v>
      </c>
      <c r="I37" t="s">
        <v>268</v>
      </c>
      <c r="J37" s="168">
        <f>1-(E37/C37)^(1/(E$36-C$36))</f>
        <v>0.14812345482936684</v>
      </c>
      <c r="K37" s="44">
        <f>1-(H37/E37)^(1/(H$36-E$36))</f>
        <v>1.2718601007885355E-2</v>
      </c>
    </row>
    <row r="38" spans="1:22" x14ac:dyDescent="0.5">
      <c r="B38" s="3" t="s">
        <v>269</v>
      </c>
      <c r="C38" s="32">
        <f>C5</f>
        <v>0</v>
      </c>
      <c r="D38" s="63"/>
      <c r="E38" s="39"/>
      <c r="F38" s="63"/>
      <c r="G38" s="63"/>
      <c r="H38" s="39"/>
      <c r="I38" t="s">
        <v>61</v>
      </c>
      <c r="J38" s="168"/>
      <c r="K38" s="44"/>
    </row>
    <row r="39" spans="1:22" x14ac:dyDescent="0.5">
      <c r="B39" s="3" t="s">
        <v>259</v>
      </c>
      <c r="C39">
        <f>C6</f>
        <v>5000</v>
      </c>
      <c r="D39" s="54">
        <f>$C39*(1-$J39)^(D$22-$C$22)</f>
        <v>6059.9876488279106</v>
      </c>
      <c r="E39" s="32">
        <v>7000</v>
      </c>
      <c r="F39" s="54">
        <f t="shared" ref="F39:G41" si="0">$E39*(1-$K39)^(F$36-$E$36)</f>
        <v>7285.1338713304003</v>
      </c>
      <c r="G39" s="54">
        <f t="shared" si="0"/>
        <v>8049.8220257098674</v>
      </c>
      <c r="H39">
        <v>12000</v>
      </c>
      <c r="I39" t="s">
        <v>105</v>
      </c>
      <c r="J39" s="168">
        <f>1-(E39/C39)^(1/(E$36-C$36))</f>
        <v>-4.9241437255623133E-2</v>
      </c>
      <c r="K39" s="44">
        <f>1-(H39/E39)^(1/(H$36-E$36))</f>
        <v>-2.0163423275926462E-2</v>
      </c>
    </row>
    <row r="40" spans="1:22" x14ac:dyDescent="0.5">
      <c r="B40" s="3" t="s">
        <v>260</v>
      </c>
      <c r="C40" s="32">
        <f>C7</f>
        <v>17</v>
      </c>
      <c r="D40" s="54">
        <f>$C40*(1-$J40)^(D$22-$C$22)</f>
        <v>22.144067824452627</v>
      </c>
      <c r="E40" s="32">
        <v>27</v>
      </c>
      <c r="F40" s="54">
        <f t="shared" si="0"/>
        <v>27.341945270427118</v>
      </c>
      <c r="G40" s="54">
        <f t="shared" si="0"/>
        <v>28.215875045692869</v>
      </c>
      <c r="H40" s="32">
        <v>32</v>
      </c>
      <c r="I40" t="s">
        <v>64</v>
      </c>
      <c r="J40" s="168">
        <f>1-(E40/C40)^(1/(E$36-C$36))</f>
        <v>-6.8321873233024855E-2</v>
      </c>
      <c r="K40" s="44">
        <f>1-(H40/E40)^(1/(H$36-E$36))</f>
        <v>-6.312396647009777E-3</v>
      </c>
    </row>
    <row r="41" spans="1:22" ht="14.7" thickBot="1" x14ac:dyDescent="0.55000000000000004">
      <c r="B41" s="5" t="s">
        <v>65</v>
      </c>
      <c r="C41" s="33">
        <f>C8</f>
        <v>80</v>
      </c>
      <c r="D41" s="55">
        <f>$C41*(1-$J41)^(D$22-$C$22)</f>
        <v>83.375352074134454</v>
      </c>
      <c r="E41" s="33">
        <v>86</v>
      </c>
      <c r="F41" s="55">
        <f t="shared" si="0"/>
        <v>86.07367826343453</v>
      </c>
      <c r="G41" s="55">
        <f t="shared" si="0"/>
        <v>86.258150198799626</v>
      </c>
      <c r="H41" s="33">
        <v>87</v>
      </c>
      <c r="I41" s="6" t="s">
        <v>66</v>
      </c>
      <c r="J41" s="169">
        <f>1-(E41/C41)^(1/(E$36-C$36))</f>
        <v>-1.0385077541552379E-2</v>
      </c>
      <c r="K41" s="166">
        <f>1-(H41/E41)^(1/(H$36-E$36))</f>
        <v>-4.282702889921719E-4</v>
      </c>
    </row>
    <row r="42" spans="1:22" ht="14.7" thickBot="1" x14ac:dyDescent="0.55000000000000004">
      <c r="B42" s="3"/>
      <c r="C42" s="32"/>
      <c r="D42" s="32"/>
      <c r="E42" s="32"/>
      <c r="F42" s="37"/>
      <c r="G42" s="37"/>
      <c r="J42" s="168"/>
      <c r="K42" s="44"/>
    </row>
    <row r="43" spans="1:22" x14ac:dyDescent="0.5">
      <c r="A43" s="3" t="s">
        <v>327</v>
      </c>
      <c r="B43" s="4"/>
      <c r="C43" s="4">
        <v>2016</v>
      </c>
      <c r="D43" s="4">
        <v>2017</v>
      </c>
      <c r="E43" s="29">
        <v>2020</v>
      </c>
      <c r="F43" s="29">
        <v>2025</v>
      </c>
      <c r="G43" s="29">
        <v>2030</v>
      </c>
      <c r="H43" s="4">
        <v>2050</v>
      </c>
      <c r="I43" s="4" t="s">
        <v>59</v>
      </c>
      <c r="J43" s="170"/>
      <c r="K43" s="167"/>
    </row>
    <row r="44" spans="1:22" x14ac:dyDescent="0.5">
      <c r="B44" s="3" t="s">
        <v>267</v>
      </c>
      <c r="C44" s="92">
        <f>C4</f>
        <v>525</v>
      </c>
      <c r="D44" s="92">
        <v>535</v>
      </c>
      <c r="E44" s="102">
        <v>500</v>
      </c>
      <c r="F44" s="65">
        <f>$E44*(1-$K44)^(F$43-$E$43)</f>
        <v>446.68054929237127</v>
      </c>
      <c r="G44" s="65">
        <f>$E44*(1-$K44)^(G$43-$E$43)</f>
        <v>399.04702623226899</v>
      </c>
      <c r="H44" s="172"/>
      <c r="I44" t="s">
        <v>268</v>
      </c>
      <c r="J44" s="168">
        <f>1-(D44/C44)^(1/(D$43-C$43))</f>
        <v>-1.904761904761898E-2</v>
      </c>
      <c r="K44" s="44">
        <f>1-(E44/D44)^(1/(E$43-D$43))</f>
        <v>2.2300467686685255E-2</v>
      </c>
    </row>
    <row r="45" spans="1:22" x14ac:dyDescent="0.5">
      <c r="B45" s="3" t="s">
        <v>269</v>
      </c>
      <c r="C45" s="92">
        <f>C5</f>
        <v>0</v>
      </c>
      <c r="D45" s="172"/>
      <c r="E45" s="94"/>
      <c r="F45" s="94"/>
      <c r="G45" s="94"/>
      <c r="H45" s="95"/>
      <c r="I45" t="s">
        <v>61</v>
      </c>
      <c r="J45" s="168"/>
      <c r="K45" s="44"/>
    </row>
    <row r="46" spans="1:22" x14ac:dyDescent="0.5">
      <c r="B46" s="3" t="s">
        <v>259</v>
      </c>
      <c r="C46" s="92">
        <f>C6</f>
        <v>5000</v>
      </c>
      <c r="D46" s="95"/>
      <c r="E46" s="63"/>
      <c r="F46" s="63"/>
      <c r="G46" s="63"/>
      <c r="H46" s="40"/>
      <c r="I46" t="s">
        <v>105</v>
      </c>
      <c r="J46" s="168"/>
      <c r="K46" s="44"/>
    </row>
    <row r="47" spans="1:22" x14ac:dyDescent="0.5">
      <c r="B47" s="3" t="s">
        <v>260</v>
      </c>
      <c r="C47" s="92">
        <f>C7</f>
        <v>17</v>
      </c>
      <c r="D47" s="95"/>
      <c r="E47" s="63"/>
      <c r="F47" s="63"/>
      <c r="G47" s="63"/>
      <c r="H47" s="39"/>
      <c r="I47" t="s">
        <v>64</v>
      </c>
      <c r="J47" s="168"/>
      <c r="K47" s="44"/>
    </row>
    <row r="48" spans="1:22" ht="14.7" thickBot="1" x14ac:dyDescent="0.55000000000000004">
      <c r="B48" s="5" t="s">
        <v>65</v>
      </c>
      <c r="C48" s="93">
        <f>C8</f>
        <v>80</v>
      </c>
      <c r="D48" s="173"/>
      <c r="E48" s="67"/>
      <c r="F48" s="67"/>
      <c r="G48" s="67"/>
      <c r="H48" s="41"/>
      <c r="I48" s="6" t="s">
        <v>66</v>
      </c>
      <c r="J48" s="169"/>
      <c r="K48" s="166"/>
    </row>
    <row r="49" spans="1:11" ht="14.7" thickBot="1" x14ac:dyDescent="0.55000000000000004"/>
    <row r="50" spans="1:11" x14ac:dyDescent="0.5">
      <c r="A50" s="3" t="s">
        <v>345</v>
      </c>
      <c r="B50" s="4"/>
      <c r="C50" s="4">
        <v>2016</v>
      </c>
      <c r="D50" s="4">
        <v>2020</v>
      </c>
      <c r="E50" s="29">
        <v>2023</v>
      </c>
      <c r="F50" s="29">
        <v>2025</v>
      </c>
      <c r="G50" s="29">
        <v>2030</v>
      </c>
      <c r="H50" s="4">
        <v>2050</v>
      </c>
      <c r="I50" s="4" t="s">
        <v>59</v>
      </c>
      <c r="J50" s="170"/>
      <c r="K50" s="167"/>
    </row>
    <row r="51" spans="1:11" x14ac:dyDescent="0.5">
      <c r="B51" s="3" t="s">
        <v>267</v>
      </c>
      <c r="C51" s="32">
        <f>C4</f>
        <v>525</v>
      </c>
      <c r="D51" s="54">
        <f>C51*(1-J51)^(D50-C50)</f>
        <v>398.68325902774944</v>
      </c>
      <c r="E51" s="208">
        <f>300*Financials!D16</f>
        <v>324.32432432432427</v>
      </c>
      <c r="F51" s="65">
        <f>C51*(1-J51)^(F50-C50)</f>
        <v>282.62714415331567</v>
      </c>
      <c r="G51" s="65">
        <f>C51*(1-J51)^(G50-C50)</f>
        <v>200.35479494938943</v>
      </c>
      <c r="H51" s="39"/>
      <c r="I51" t="s">
        <v>268</v>
      </c>
      <c r="J51" s="168">
        <f>1-(E51/C51)^(1/(E50-C50))</f>
        <v>6.6493870147215639E-2</v>
      </c>
      <c r="K51" s="44"/>
    </row>
    <row r="52" spans="1:11" x14ac:dyDescent="0.5">
      <c r="B52" s="3" t="s">
        <v>269</v>
      </c>
      <c r="C52" s="32">
        <f>C5</f>
        <v>0</v>
      </c>
      <c r="D52" s="39"/>
      <c r="E52" s="63"/>
      <c r="F52" s="63"/>
      <c r="G52" s="63"/>
      <c r="H52" s="39"/>
      <c r="I52" t="s">
        <v>61</v>
      </c>
      <c r="J52" s="168"/>
      <c r="K52" s="44"/>
    </row>
    <row r="53" spans="1:11" x14ac:dyDescent="0.5">
      <c r="B53" s="3" t="s">
        <v>259</v>
      </c>
      <c r="C53" s="92">
        <f>C6</f>
        <v>5000</v>
      </c>
      <c r="D53" s="95"/>
      <c r="E53" s="208">
        <v>4500</v>
      </c>
      <c r="F53" s="63"/>
      <c r="G53" s="206" t="s">
        <v>560</v>
      </c>
      <c r="H53" s="40"/>
      <c r="I53" t="s">
        <v>105</v>
      </c>
      <c r="J53" s="168"/>
      <c r="K53" s="44"/>
    </row>
    <row r="54" spans="1:11" x14ac:dyDescent="0.5">
      <c r="B54" s="3" t="s">
        <v>260</v>
      </c>
      <c r="C54" s="92">
        <f>C7</f>
        <v>17</v>
      </c>
      <c r="D54" s="95"/>
      <c r="E54" s="206" t="s">
        <v>511</v>
      </c>
      <c r="F54" s="63"/>
      <c r="G54" s="206">
        <v>20</v>
      </c>
      <c r="H54" s="39"/>
      <c r="I54" t="s">
        <v>64</v>
      </c>
      <c r="J54" s="168"/>
      <c r="K54" s="44"/>
    </row>
    <row r="55" spans="1:11" x14ac:dyDescent="0.5">
      <c r="B55" s="3" t="s">
        <v>65</v>
      </c>
      <c r="C55" s="92">
        <f>C8</f>
        <v>80</v>
      </c>
      <c r="D55" s="95"/>
      <c r="E55" s="204" t="s">
        <v>561</v>
      </c>
      <c r="F55" s="63"/>
      <c r="G55" s="204" t="s">
        <v>549</v>
      </c>
      <c r="H55" s="39"/>
      <c r="I55" t="s">
        <v>66</v>
      </c>
      <c r="J55" s="44"/>
      <c r="K55" s="44"/>
    </row>
    <row r="56" spans="1:11" ht="14.7" thickBot="1" x14ac:dyDescent="0.55000000000000004">
      <c r="B56" s="273" t="s">
        <v>51</v>
      </c>
      <c r="C56" s="276"/>
      <c r="D56" s="276" t="s">
        <v>47</v>
      </c>
      <c r="E56" s="279">
        <v>6</v>
      </c>
      <c r="F56" s="277"/>
      <c r="G56" s="277"/>
      <c r="H56" s="278"/>
      <c r="I56" s="274" t="s">
        <v>74</v>
      </c>
      <c r="J56" s="275"/>
      <c r="K56" s="274"/>
    </row>
  </sheetData>
  <hyperlinks>
    <hyperlink ref="E16" r:id="rId1" xr:uid="{00000000-0004-0000-2200-000002000000}"/>
    <hyperlink ref="E17" r:id="rId2" xr:uid="{00000000-0004-0000-2200-000003000000}"/>
    <hyperlink ref="E14" r:id="rId3" xr:uid="{FF14D5B8-F2D1-4B3A-9775-CDF7A77A48D4}"/>
    <hyperlink ref="E18" r:id="rId4" xr:uid="{42758656-F8FD-4372-886F-4043168150AE}"/>
  </hyperlinks>
  <pageMargins left="0.7" right="0.7" top="0.75" bottom="0.75" header="0.3" footer="0.3"/>
  <pageSetup paperSize="9" orientation="portrait" r:id="rId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Tabelle35">
    <tabColor theme="5" tint="0.39997558519241921"/>
  </sheetPr>
  <dimension ref="B3:L19"/>
  <sheetViews>
    <sheetView workbookViewId="0">
      <selection activeCell="L17" sqref="L17"/>
    </sheetView>
  </sheetViews>
  <sheetFormatPr defaultColWidth="11.46875" defaultRowHeight="14.35" x14ac:dyDescent="0.5"/>
  <cols>
    <col min="2" max="2" width="27.64453125" bestFit="1" customWidth="1"/>
    <col min="12" max="12" width="20.17578125" bestFit="1" customWidth="1"/>
  </cols>
  <sheetData>
    <row r="3" spans="2:12" x14ac:dyDescent="0.5">
      <c r="C3" s="425">
        <v>2016</v>
      </c>
      <c r="D3" s="425"/>
      <c r="E3" s="425"/>
      <c r="F3" s="426">
        <v>2025</v>
      </c>
      <c r="G3" s="426"/>
      <c r="H3" s="426"/>
      <c r="I3" s="426">
        <v>2030</v>
      </c>
      <c r="J3" s="426"/>
      <c r="K3" s="426"/>
      <c r="L3" s="105"/>
    </row>
    <row r="4" spans="2:12" ht="18.350000000000001" thickBot="1" x14ac:dyDescent="0.65">
      <c r="B4" s="104" t="s">
        <v>562</v>
      </c>
      <c r="C4" s="106" t="s">
        <v>56</v>
      </c>
      <c r="D4" s="106" t="s">
        <v>57</v>
      </c>
      <c r="E4" s="106" t="s">
        <v>58</v>
      </c>
      <c r="F4" s="106" t="s">
        <v>56</v>
      </c>
      <c r="G4" s="106" t="s">
        <v>57</v>
      </c>
      <c r="H4" s="106" t="s">
        <v>58</v>
      </c>
      <c r="I4" s="106" t="s">
        <v>56</v>
      </c>
      <c r="J4" s="106" t="s">
        <v>57</v>
      </c>
      <c r="K4" s="106" t="s">
        <v>58</v>
      </c>
      <c r="L4" s="106" t="s">
        <v>59</v>
      </c>
    </row>
    <row r="5" spans="2:12" x14ac:dyDescent="0.5">
      <c r="B5" s="18" t="s">
        <v>255</v>
      </c>
      <c r="C5" s="81">
        <f>'Overview 2016 (in)'!G54</f>
        <v>300</v>
      </c>
      <c r="D5" s="19">
        <f>'Overview 2016 (in)'!H54</f>
        <v>140</v>
      </c>
      <c r="E5" s="20">
        <f>'Overview 2016 (in)'!I54</f>
        <v>250</v>
      </c>
      <c r="F5" s="81">
        <f t="shared" ref="F5:F15" si="0">IFERROR(C5*H5/E5,0)</f>
        <v>300</v>
      </c>
      <c r="G5" s="19">
        <f t="shared" ref="G5:G15" si="1">IFERROR(D5*H5/E5, 0)</f>
        <v>140</v>
      </c>
      <c r="H5" s="20">
        <f>E5</f>
        <v>250</v>
      </c>
      <c r="I5" s="81">
        <f>IFERROR(F5*K5/H5,0)</f>
        <v>300</v>
      </c>
      <c r="J5" s="19">
        <f>IFERROR(G5*K5/H5, 0)</f>
        <v>140</v>
      </c>
      <c r="K5" s="20">
        <f>H5</f>
        <v>250</v>
      </c>
      <c r="L5" s="21" t="s">
        <v>256</v>
      </c>
    </row>
    <row r="6" spans="2:12" x14ac:dyDescent="0.5">
      <c r="B6" s="3" t="s">
        <v>257</v>
      </c>
      <c r="C6" s="82">
        <f>'Overview 2016 (in)'!G55</f>
        <v>160</v>
      </c>
      <c r="D6" s="83">
        <f>'Overview 2016 (in)'!H55</f>
        <v>120</v>
      </c>
      <c r="E6" s="84">
        <f>'Overview 2016 (in)'!I55</f>
        <v>140</v>
      </c>
      <c r="F6" s="82">
        <f t="shared" si="0"/>
        <v>160</v>
      </c>
      <c r="G6" s="83">
        <f t="shared" si="1"/>
        <v>120</v>
      </c>
      <c r="H6" s="84">
        <f>E6</f>
        <v>140</v>
      </c>
      <c r="I6" s="82">
        <f t="shared" ref="I6:I15" si="2">IFERROR(F6*K6/H6,0)</f>
        <v>160</v>
      </c>
      <c r="J6" s="83">
        <f t="shared" ref="J6:J13" si="3">IFERROR(G6*K6/H6, 0)</f>
        <v>120</v>
      </c>
      <c r="K6" s="84">
        <f>H6</f>
        <v>140</v>
      </c>
      <c r="L6" s="22" t="s">
        <v>258</v>
      </c>
    </row>
    <row r="7" spans="2:12" x14ac:dyDescent="0.5">
      <c r="B7" s="18" t="s">
        <v>259</v>
      </c>
      <c r="C7" s="85">
        <f>'Overview 2016 (in)'!G56</f>
        <v>10000</v>
      </c>
      <c r="D7" s="23">
        <f>'Overview 2016 (in)'!H56</f>
        <v>1000</v>
      </c>
      <c r="E7" s="107">
        <f>'Overview 2016 (in)'!I56</f>
        <v>5000</v>
      </c>
      <c r="F7" s="85">
        <f t="shared" ca="1" si="0"/>
        <v>13000</v>
      </c>
      <c r="G7" s="23">
        <f t="shared" ca="1" si="1"/>
        <v>1300</v>
      </c>
      <c r="H7" s="107">
        <f ca="1">INDIRECT(ADDRESS(ROW($B6),COLUMN(E$4),1,,$B$4))</f>
        <v>6500</v>
      </c>
      <c r="I7" s="85">
        <f t="shared" ca="1" si="2"/>
        <v>15000</v>
      </c>
      <c r="J7" s="23">
        <f t="shared" ca="1" si="3"/>
        <v>1500</v>
      </c>
      <c r="K7" s="107">
        <f ca="1">INDIRECT(ADDRESS(ROW($B6),COLUMN($F4),1,,$B$4))</f>
        <v>7500</v>
      </c>
      <c r="L7" s="21" t="s">
        <v>105</v>
      </c>
    </row>
    <row r="8" spans="2:12" x14ac:dyDescent="0.5">
      <c r="B8" s="3" t="s">
        <v>260</v>
      </c>
      <c r="C8" s="86">
        <f>'Overview 2016 (in)'!G57</f>
        <v>25</v>
      </c>
      <c r="D8" s="87">
        <f>'Overview 2016 (in)'!H57</f>
        <v>10</v>
      </c>
      <c r="E8" s="109">
        <f>'Overview 2016 (in)'!I57</f>
        <v>17</v>
      </c>
      <c r="F8" s="86">
        <f t="shared" ca="1" si="0"/>
        <v>32.352941176470587</v>
      </c>
      <c r="G8" s="87">
        <f t="shared" ca="1" si="1"/>
        <v>12.941176470588236</v>
      </c>
      <c r="H8" s="109">
        <f ca="1">INDIRECT(ADDRESS(ROW($B7),COLUMN(E$4),1,,$B$4))</f>
        <v>22</v>
      </c>
      <c r="I8" s="86">
        <f t="shared" ca="1" si="2"/>
        <v>36.764705882352935</v>
      </c>
      <c r="J8" s="87">
        <f t="shared" ca="1" si="3"/>
        <v>14.705882352941178</v>
      </c>
      <c r="K8" s="109">
        <f ca="1">INDIRECT(ADDRESS(ROW($B7),COLUMN($F4),1,,$B$4))</f>
        <v>25</v>
      </c>
      <c r="L8" s="22" t="s">
        <v>64</v>
      </c>
    </row>
    <row r="9" spans="2:12" x14ac:dyDescent="0.5">
      <c r="B9" s="18" t="s">
        <v>81</v>
      </c>
      <c r="C9" s="85">
        <f>'Overview 2016 (in)'!G58</f>
        <v>100</v>
      </c>
      <c r="D9" s="23">
        <f>'Overview 2016 (in)'!H58</f>
        <v>100</v>
      </c>
      <c r="E9" s="24">
        <f>'Overview 2016 (in)'!I58</f>
        <v>100</v>
      </c>
      <c r="F9" s="85">
        <f t="shared" si="0"/>
        <v>100</v>
      </c>
      <c r="G9" s="23">
        <f t="shared" si="1"/>
        <v>100</v>
      </c>
      <c r="H9" s="24">
        <f>E9</f>
        <v>100</v>
      </c>
      <c r="I9" s="85">
        <f t="shared" si="2"/>
        <v>100</v>
      </c>
      <c r="J9" s="23">
        <f t="shared" si="3"/>
        <v>100</v>
      </c>
      <c r="K9" s="24">
        <f>H9</f>
        <v>100</v>
      </c>
      <c r="L9" s="21" t="s">
        <v>66</v>
      </c>
    </row>
    <row r="10" spans="2:12" x14ac:dyDescent="0.5">
      <c r="B10" s="3" t="s">
        <v>65</v>
      </c>
      <c r="C10" s="86">
        <f>'Overview 2016 (in)'!G59</f>
        <v>90</v>
      </c>
      <c r="D10" s="87">
        <f>'Overview 2016 (in)'!H59</f>
        <v>70</v>
      </c>
      <c r="E10" s="109">
        <f>'Overview 2016 (in)'!I59</f>
        <v>80</v>
      </c>
      <c r="F10" s="86">
        <f t="shared" ca="1" si="0"/>
        <v>93.375</v>
      </c>
      <c r="G10" s="87">
        <f t="shared" ca="1" si="1"/>
        <v>72.625</v>
      </c>
      <c r="H10" s="109">
        <f ca="1">INDIRECT(ADDRESS(ROW($B8),COLUMN(E$4),1,,$B$4))</f>
        <v>83</v>
      </c>
      <c r="I10" s="86">
        <f t="shared" ca="1" si="2"/>
        <v>95.625</v>
      </c>
      <c r="J10" s="87">
        <f t="shared" ca="1" si="3"/>
        <v>74.375</v>
      </c>
      <c r="K10" s="109">
        <f ca="1">INDIRECT(ADDRESS(ROW($B8),COLUMN($F4),1,,$B$4))</f>
        <v>85</v>
      </c>
      <c r="L10" s="22" t="s">
        <v>66</v>
      </c>
    </row>
    <row r="11" spans="2:12" x14ac:dyDescent="0.5">
      <c r="B11" s="18" t="s">
        <v>137</v>
      </c>
      <c r="C11" s="81">
        <f>'Overview 2016 (in)'!G60</f>
        <v>0.05</v>
      </c>
      <c r="D11" s="19">
        <f>'Overview 2016 (in)'!H60</f>
        <v>20</v>
      </c>
      <c r="E11" s="20">
        <f>'Overview 2016 (in)'!I60</f>
        <v>7</v>
      </c>
      <c r="F11" s="81">
        <f t="shared" si="0"/>
        <v>0.05</v>
      </c>
      <c r="G11" s="19">
        <f t="shared" si="1"/>
        <v>20</v>
      </c>
      <c r="H11" s="20">
        <f>E11</f>
        <v>7</v>
      </c>
      <c r="I11" s="81">
        <f t="shared" si="2"/>
        <v>0.05</v>
      </c>
      <c r="J11" s="19">
        <f t="shared" si="3"/>
        <v>20</v>
      </c>
      <c r="K11" s="20">
        <f>H11</f>
        <v>7</v>
      </c>
      <c r="L11" s="21" t="s">
        <v>261</v>
      </c>
    </row>
    <row r="12" spans="2:12" x14ac:dyDescent="0.5">
      <c r="B12" s="28" t="s">
        <v>262</v>
      </c>
      <c r="C12" s="82">
        <f>'Overview 2016 (in)'!G61</f>
        <v>3</v>
      </c>
      <c r="D12" s="83">
        <f>'Overview 2016 (in)'!H61</f>
        <v>20</v>
      </c>
      <c r="E12" s="84">
        <f>'Overview 2016 (in)'!I61</f>
        <v>10</v>
      </c>
      <c r="F12" s="82">
        <f t="shared" si="0"/>
        <v>3</v>
      </c>
      <c r="G12" s="83">
        <f t="shared" si="1"/>
        <v>20</v>
      </c>
      <c r="H12" s="84">
        <f>E12</f>
        <v>10</v>
      </c>
      <c r="I12" s="82">
        <f t="shared" si="2"/>
        <v>3</v>
      </c>
      <c r="J12" s="83">
        <f t="shared" si="3"/>
        <v>20</v>
      </c>
      <c r="K12" s="84">
        <f>H12</f>
        <v>10</v>
      </c>
      <c r="L12" s="88" t="s">
        <v>265</v>
      </c>
    </row>
    <row r="13" spans="2:12" x14ac:dyDescent="0.5">
      <c r="B13" s="89" t="s">
        <v>266</v>
      </c>
      <c r="C13" s="90">
        <f>'Overview 2016 (in)'!G62</f>
        <v>0</v>
      </c>
      <c r="D13" s="25">
        <f>'Overview 2016 (in)'!H62</f>
        <v>0</v>
      </c>
      <c r="E13" s="26">
        <f>'Overview 2016 (in)'!I62</f>
        <v>0</v>
      </c>
      <c r="F13" s="90">
        <f t="shared" si="0"/>
        <v>0</v>
      </c>
      <c r="G13" s="25">
        <f t="shared" si="1"/>
        <v>0</v>
      </c>
      <c r="H13" s="26">
        <f>E13</f>
        <v>0</v>
      </c>
      <c r="I13" s="90">
        <f t="shared" si="2"/>
        <v>0</v>
      </c>
      <c r="J13" s="25">
        <f t="shared" si="3"/>
        <v>0</v>
      </c>
      <c r="K13" s="26">
        <f>H13</f>
        <v>0</v>
      </c>
      <c r="L13" s="21" t="s">
        <v>64</v>
      </c>
    </row>
    <row r="14" spans="2:12" x14ac:dyDescent="0.5">
      <c r="B14" s="28" t="s">
        <v>267</v>
      </c>
      <c r="C14" s="86">
        <f>'Overview 2016 (in)'!G63</f>
        <v>367.5</v>
      </c>
      <c r="D14" s="87">
        <f>'Overview 2016 (in)'!H63</f>
        <v>735</v>
      </c>
      <c r="E14" s="108">
        <f>'Overview 2016 (in)'!I63</f>
        <v>525</v>
      </c>
      <c r="F14" s="86">
        <f t="shared" ca="1" si="0"/>
        <v>198.43217800045539</v>
      </c>
      <c r="G14" s="87">
        <f t="shared" ca="1" si="1"/>
        <v>396.86435600091079</v>
      </c>
      <c r="H14" s="108">
        <f ca="1">IF(CELL("format",INDIRECT(ADDRESS(ROW($B4),COLUMN(E$4),1,,$B$4)))="W0-",INDIRECT(ADDRESS(ROW($B4),COLUMN(E$4),1,,$B$4))*'Overview 2016 (in)'!$O$7,INDIRECT(ADDRESS(ROW($B4),COLUMN(E$4),1,,$B$4)))</f>
        <v>283.47454000065056</v>
      </c>
      <c r="I14" s="86">
        <f t="shared" ca="1" si="2"/>
        <v>140</v>
      </c>
      <c r="J14" s="87">
        <f t="shared" ref="J14:J15" ca="1" si="4">IFERROR(G14*K14/H14,0)</f>
        <v>280</v>
      </c>
      <c r="K14" s="108">
        <f ca="1">IF(CELL("format",INDIRECT(ADDRESS(ROW($B4),COLUMN($F4),1,,$B$4)))="W0-",INDIRECT(ADDRESS(ROW($B4),COLUMN($F4),1,,$B$4))*'Overview 2016 (in)'!$O$7,INDIRECT(ADDRESS(ROW($B4),COLUMN($F4),1,,$B$4)))</f>
        <v>200</v>
      </c>
      <c r="L14" s="88" t="s">
        <v>268</v>
      </c>
    </row>
    <row r="15" spans="2:12" x14ac:dyDescent="0.5">
      <c r="B15" s="89" t="s">
        <v>269</v>
      </c>
      <c r="C15" s="23">
        <f>'Overview 2016 (in)'!G64</f>
        <v>0</v>
      </c>
      <c r="D15" s="23">
        <f>'Overview 2016 (in)'!H64</f>
        <v>0</v>
      </c>
      <c r="E15" s="107">
        <f>'Overview 2016 (in)'!I64</f>
        <v>0</v>
      </c>
      <c r="F15" s="23">
        <f t="shared" ca="1" si="0"/>
        <v>0</v>
      </c>
      <c r="G15" s="23">
        <f t="shared" ca="1" si="1"/>
        <v>0</v>
      </c>
      <c r="H15" s="107">
        <f ca="1">IF(CELL("format",INDIRECT(ADDRESS(ROW($B5),COLUMN(E$4),1,,$B$4)))="W0-",INDIRECT(ADDRESS(ROW($B5),COLUMN(E$4),1,,$B$4))*'Overview 2016 (in)'!$O$7,INDIRECT(ADDRESS(ROW($B5),COLUMN(E$4),1,,$B$4)))</f>
        <v>78</v>
      </c>
      <c r="I15" s="23">
        <f t="shared" ca="1" si="2"/>
        <v>0</v>
      </c>
      <c r="J15" s="23">
        <f t="shared" ca="1" si="4"/>
        <v>0</v>
      </c>
      <c r="K15" s="107">
        <f ca="1">IF(CELL("format",INDIRECT(ADDRESS(ROW($B5),COLUMN($F4),1,,$B$4)))="W0-",INDIRECT(ADDRESS(ROW($B5),COLUMN($F4),1,,$B$4))*'Overview 2016 (in)'!$O$7,INDIRECT(ADDRESS(ROW($B5),COLUMN($F4),1,,$B$4)))</f>
        <v>50</v>
      </c>
      <c r="L15" s="21" t="s">
        <v>61</v>
      </c>
    </row>
    <row r="16" spans="2:12" ht="14.7" thickBot="1" x14ac:dyDescent="0.55000000000000004">
      <c r="B16" s="245" t="s">
        <v>51</v>
      </c>
      <c r="C16" s="251">
        <f>'NaS (calc)'!C9</f>
        <v>6</v>
      </c>
      <c r="D16" s="251">
        <f>'NaS (calc)'!D9</f>
        <v>6</v>
      </c>
      <c r="E16" s="252">
        <f>AVERAGE(C16:D16)</f>
        <v>6</v>
      </c>
      <c r="F16" s="251">
        <f t="shared" ref="F16:K16" si="5">C16</f>
        <v>6</v>
      </c>
      <c r="G16" s="251">
        <f t="shared" si="5"/>
        <v>6</v>
      </c>
      <c r="H16" s="252">
        <f t="shared" si="5"/>
        <v>6</v>
      </c>
      <c r="I16" s="251">
        <f t="shared" si="5"/>
        <v>6</v>
      </c>
      <c r="J16" s="251">
        <f t="shared" si="5"/>
        <v>6</v>
      </c>
      <c r="K16" s="252">
        <f t="shared" si="5"/>
        <v>6</v>
      </c>
      <c r="L16" s="135" t="s">
        <v>74</v>
      </c>
    </row>
    <row r="18" spans="2:3" x14ac:dyDescent="0.5">
      <c r="C18" s="111"/>
    </row>
    <row r="19" spans="2:3" ht="18" x14ac:dyDescent="0.6">
      <c r="B19" s="1"/>
    </row>
  </sheetData>
  <mergeCells count="3">
    <mergeCell ref="C3:E3"/>
    <mergeCell ref="F3:H3"/>
    <mergeCell ref="I3:K3"/>
  </mergeCells>
  <pageMargins left="0.7" right="0.7" top="0.78740157499999996" bottom="0.78740157499999996"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Tabelle36">
    <tabColor theme="3" tint="0.59999389629810485"/>
  </sheetPr>
  <dimension ref="A2:S75"/>
  <sheetViews>
    <sheetView workbookViewId="0">
      <selection activeCell="I61" sqref="I61"/>
    </sheetView>
  </sheetViews>
  <sheetFormatPr defaultColWidth="9.17578125" defaultRowHeight="14.35" x14ac:dyDescent="0.5"/>
  <cols>
    <col min="2" max="2" width="26.52734375" customWidth="1"/>
    <col min="3" max="8" width="10.64453125" customWidth="1"/>
    <col min="9" max="9" width="20.29296875" customWidth="1"/>
    <col min="10" max="10" width="13.8203125" customWidth="1"/>
    <col min="11" max="16" width="12.64453125" customWidth="1"/>
  </cols>
  <sheetData>
    <row r="2" spans="2:16" ht="18.350000000000001" thickBot="1" x14ac:dyDescent="0.65">
      <c r="B2" s="1" t="s">
        <v>152</v>
      </c>
      <c r="C2" s="9"/>
      <c r="K2" s="1" t="s">
        <v>286</v>
      </c>
    </row>
    <row r="3" spans="2:16" x14ac:dyDescent="0.5">
      <c r="B3" s="4"/>
      <c r="C3" s="4">
        <v>2016</v>
      </c>
      <c r="D3" s="29">
        <v>2020</v>
      </c>
      <c r="E3" s="29">
        <v>2025</v>
      </c>
      <c r="F3" s="29">
        <v>2030</v>
      </c>
      <c r="G3" s="4" t="s">
        <v>59</v>
      </c>
      <c r="H3" s="3"/>
      <c r="I3" s="4" t="s">
        <v>287</v>
      </c>
      <c r="J3" s="4" t="s">
        <v>288</v>
      </c>
      <c r="K3" s="4" t="s">
        <v>289</v>
      </c>
      <c r="L3" s="4" t="s">
        <v>290</v>
      </c>
      <c r="O3" s="3"/>
      <c r="P3" s="3"/>
    </row>
    <row r="4" spans="2:16" x14ac:dyDescent="0.5">
      <c r="B4" s="3" t="s">
        <v>267</v>
      </c>
      <c r="C4" s="32">
        <f>'Overview 2016 (in)'!L63</f>
        <v>346.5</v>
      </c>
      <c r="D4" s="32">
        <f>AVERAGE(E55,E63)</f>
        <v>440.93243243243239</v>
      </c>
      <c r="E4" s="32">
        <f>AVERAGE(F55,F63)</f>
        <v>401.56961818580817</v>
      </c>
      <c r="F4" s="32">
        <f>AVERAGE(G55,G63)</f>
        <v>335.91060588001494</v>
      </c>
      <c r="G4" t="s">
        <v>268</v>
      </c>
      <c r="I4" s="35" t="s">
        <v>350</v>
      </c>
      <c r="J4" t="s">
        <v>291</v>
      </c>
      <c r="K4" t="s">
        <v>291</v>
      </c>
      <c r="L4" t="s">
        <v>291</v>
      </c>
    </row>
    <row r="5" spans="2:16" x14ac:dyDescent="0.5">
      <c r="B5" s="3" t="s">
        <v>269</v>
      </c>
      <c r="C5" s="32">
        <f>'Overview 2016 (in)'!L64</f>
        <v>1312.5</v>
      </c>
      <c r="D5" s="32">
        <v>1224</v>
      </c>
      <c r="E5" s="32">
        <v>1122</v>
      </c>
      <c r="F5" s="32">
        <v>1028</v>
      </c>
      <c r="G5" t="s">
        <v>61</v>
      </c>
      <c r="I5" s="35" t="s">
        <v>350</v>
      </c>
      <c r="J5">
        <v>1</v>
      </c>
      <c r="K5">
        <v>1</v>
      </c>
      <c r="L5">
        <v>1</v>
      </c>
    </row>
    <row r="6" spans="2:16" x14ac:dyDescent="0.5">
      <c r="B6" s="3" t="s">
        <v>259</v>
      </c>
      <c r="C6" s="92">
        <f>'Overview 2016 (in)'!L56</f>
        <v>13000</v>
      </c>
      <c r="D6" s="92">
        <v>13000</v>
      </c>
      <c r="E6" s="92">
        <v>13000</v>
      </c>
      <c r="F6" s="92">
        <v>13000</v>
      </c>
      <c r="G6" t="s">
        <v>105</v>
      </c>
      <c r="I6" s="35" t="s">
        <v>350</v>
      </c>
      <c r="J6" t="s">
        <v>291</v>
      </c>
      <c r="K6" t="s">
        <v>291</v>
      </c>
      <c r="L6" t="s">
        <v>291</v>
      </c>
    </row>
    <row r="7" spans="2:16" x14ac:dyDescent="0.5">
      <c r="B7" s="3" t="s">
        <v>260</v>
      </c>
      <c r="C7" s="92">
        <f>'Overview 2016 (in)'!L57</f>
        <v>12</v>
      </c>
      <c r="D7" s="92">
        <v>14</v>
      </c>
      <c r="E7" s="92">
        <v>16</v>
      </c>
      <c r="F7" s="92">
        <v>20</v>
      </c>
      <c r="G7" t="s">
        <v>64</v>
      </c>
      <c r="I7" s="35" t="s">
        <v>350</v>
      </c>
      <c r="J7" t="s">
        <v>291</v>
      </c>
      <c r="K7" t="s">
        <v>291</v>
      </c>
      <c r="L7">
        <v>5</v>
      </c>
    </row>
    <row r="8" spans="2:16" x14ac:dyDescent="0.5">
      <c r="B8" s="3" t="s">
        <v>65</v>
      </c>
      <c r="C8" s="92">
        <f>'Overview 2016 (in)'!L59</f>
        <v>70</v>
      </c>
      <c r="D8" s="92">
        <v>70</v>
      </c>
      <c r="E8" s="92">
        <v>71</v>
      </c>
      <c r="F8" s="92">
        <v>72</v>
      </c>
      <c r="G8" t="s">
        <v>66</v>
      </c>
      <c r="I8" s="35" t="s">
        <v>350</v>
      </c>
      <c r="J8" t="s">
        <v>291</v>
      </c>
      <c r="K8" t="s">
        <v>291</v>
      </c>
      <c r="L8" t="s">
        <v>291</v>
      </c>
    </row>
    <row r="9" spans="2:16" x14ac:dyDescent="0.5">
      <c r="B9" s="3" t="s">
        <v>563</v>
      </c>
      <c r="C9" s="92">
        <f>'Overview 2016 (in)'!F57</f>
        <v>15</v>
      </c>
      <c r="D9" s="92">
        <v>80</v>
      </c>
      <c r="E9" s="92">
        <v>80</v>
      </c>
      <c r="F9" s="92">
        <v>80</v>
      </c>
      <c r="G9" t="s">
        <v>66</v>
      </c>
      <c r="I9" s="35" t="s">
        <v>350</v>
      </c>
      <c r="J9" t="s">
        <v>291</v>
      </c>
      <c r="K9" t="s">
        <v>291</v>
      </c>
      <c r="L9" t="s">
        <v>291</v>
      </c>
    </row>
    <row r="10" spans="2:16" x14ac:dyDescent="0.5">
      <c r="B10" s="3" t="s">
        <v>564</v>
      </c>
      <c r="C10" s="92">
        <v>5</v>
      </c>
      <c r="D10" s="92">
        <v>5</v>
      </c>
      <c r="E10" s="92">
        <v>5</v>
      </c>
      <c r="F10" s="92">
        <v>5</v>
      </c>
      <c r="G10" t="s">
        <v>74</v>
      </c>
      <c r="I10" s="35">
        <v>5</v>
      </c>
      <c r="J10">
        <v>5</v>
      </c>
      <c r="K10">
        <v>5</v>
      </c>
      <c r="L10">
        <v>5</v>
      </c>
    </row>
    <row r="11" spans="2:16" ht="14.7" thickBot="1" x14ac:dyDescent="0.55000000000000004">
      <c r="B11" s="5" t="s">
        <v>565</v>
      </c>
      <c r="C11" s="93">
        <v>10</v>
      </c>
      <c r="D11" s="93">
        <v>10</v>
      </c>
      <c r="E11" s="93">
        <v>10</v>
      </c>
      <c r="F11" s="93">
        <v>10</v>
      </c>
      <c r="G11" s="6" t="s">
        <v>74</v>
      </c>
      <c r="I11" s="36">
        <v>5</v>
      </c>
      <c r="J11" s="6">
        <v>5</v>
      </c>
      <c r="K11" s="6">
        <v>5</v>
      </c>
      <c r="L11" s="6">
        <v>5</v>
      </c>
    </row>
    <row r="12" spans="2:16" x14ac:dyDescent="0.5">
      <c r="B12" s="3"/>
      <c r="C12" s="10"/>
    </row>
    <row r="14" spans="2:16" x14ac:dyDescent="0.5">
      <c r="K14" s="2" t="s">
        <v>294</v>
      </c>
    </row>
    <row r="15" spans="2:16" ht="18.350000000000001" thickBot="1" x14ac:dyDescent="0.65">
      <c r="B15" s="1" t="s">
        <v>295</v>
      </c>
      <c r="K15" s="11" t="s">
        <v>296</v>
      </c>
    </row>
    <row r="16" spans="2:16" x14ac:dyDescent="0.5">
      <c r="B16" s="7" t="s">
        <v>297</v>
      </c>
      <c r="C16" s="7" t="s">
        <v>298</v>
      </c>
      <c r="D16" s="7" t="s">
        <v>299</v>
      </c>
      <c r="E16" s="7" t="s">
        <v>300</v>
      </c>
      <c r="F16" s="46" t="s">
        <v>553</v>
      </c>
      <c r="G16" s="7"/>
      <c r="H16" s="46" t="s">
        <v>84</v>
      </c>
      <c r="K16" s="40" t="s">
        <v>302</v>
      </c>
      <c r="L16" s="40"/>
    </row>
    <row r="17" spans="1:19" x14ac:dyDescent="0.5">
      <c r="B17">
        <v>1</v>
      </c>
      <c r="C17" t="s">
        <v>303</v>
      </c>
      <c r="D17" t="s">
        <v>304</v>
      </c>
      <c r="E17" s="164" t="s">
        <v>305</v>
      </c>
      <c r="F17" s="45" t="s">
        <v>306</v>
      </c>
      <c r="H17" s="22" t="s">
        <v>566</v>
      </c>
    </row>
    <row r="18" spans="1:19" x14ac:dyDescent="0.5">
      <c r="B18">
        <v>2</v>
      </c>
      <c r="C18" t="s">
        <v>307</v>
      </c>
      <c r="D18" t="s">
        <v>308</v>
      </c>
      <c r="E18" s="164" t="s">
        <v>309</v>
      </c>
      <c r="F18" s="45" t="s">
        <v>310</v>
      </c>
      <c r="H18" s="22" t="s">
        <v>567</v>
      </c>
    </row>
    <row r="19" spans="1:19" x14ac:dyDescent="0.5">
      <c r="B19">
        <v>3</v>
      </c>
      <c r="C19" t="s">
        <v>311</v>
      </c>
      <c r="D19" t="s">
        <v>312</v>
      </c>
      <c r="E19" s="164" t="s">
        <v>356</v>
      </c>
      <c r="F19" s="80" t="s">
        <v>314</v>
      </c>
      <c r="H19" s="22" t="s">
        <v>567</v>
      </c>
      <c r="N19" s="53"/>
    </row>
    <row r="20" spans="1:19" x14ac:dyDescent="0.5">
      <c r="B20">
        <v>4</v>
      </c>
      <c r="C20" t="s">
        <v>358</v>
      </c>
      <c r="D20" t="s">
        <v>359</v>
      </c>
      <c r="E20" s="164" t="s">
        <v>360</v>
      </c>
      <c r="F20" s="80" t="s">
        <v>361</v>
      </c>
      <c r="H20" s="22" t="s">
        <v>566</v>
      </c>
      <c r="N20" s="53"/>
    </row>
    <row r="21" spans="1:19" x14ac:dyDescent="0.5">
      <c r="B21">
        <v>5</v>
      </c>
      <c r="C21" t="s">
        <v>506</v>
      </c>
      <c r="D21" t="s">
        <v>336</v>
      </c>
      <c r="E21" s="164" t="s">
        <v>507</v>
      </c>
      <c r="F21" s="80" t="s">
        <v>508</v>
      </c>
      <c r="H21" s="99" t="s">
        <v>568</v>
      </c>
      <c r="N21" s="53"/>
    </row>
    <row r="22" spans="1:19" x14ac:dyDescent="0.5">
      <c r="B22">
        <v>6</v>
      </c>
      <c r="C22" t="s">
        <v>315</v>
      </c>
      <c r="D22" t="s">
        <v>316</v>
      </c>
      <c r="E22" s="207" t="s">
        <v>317</v>
      </c>
      <c r="F22" s="45" t="s">
        <v>318</v>
      </c>
      <c r="H22" s="99" t="s">
        <v>568</v>
      </c>
    </row>
    <row r="23" spans="1:19" x14ac:dyDescent="0.5">
      <c r="B23">
        <v>7</v>
      </c>
      <c r="C23" t="s">
        <v>569</v>
      </c>
      <c r="D23" t="s">
        <v>570</v>
      </c>
      <c r="E23" s="207" t="s">
        <v>571</v>
      </c>
      <c r="F23" s="45" t="s">
        <v>572</v>
      </c>
      <c r="H23" s="99" t="s">
        <v>568</v>
      </c>
    </row>
    <row r="24" spans="1:19" x14ac:dyDescent="0.5">
      <c r="A24" s="68" t="s">
        <v>319</v>
      </c>
    </row>
    <row r="25" spans="1:19" ht="14.7" thickBot="1" x14ac:dyDescent="0.55000000000000004">
      <c r="A25" s="68" t="s">
        <v>320</v>
      </c>
      <c r="N25" s="53"/>
    </row>
    <row r="26" spans="1:19" x14ac:dyDescent="0.5">
      <c r="A26" s="3" t="s">
        <v>321</v>
      </c>
      <c r="B26" s="4"/>
      <c r="C26" s="4">
        <v>2016</v>
      </c>
      <c r="D26" s="29">
        <v>2020</v>
      </c>
      <c r="E26" s="4">
        <v>2023</v>
      </c>
      <c r="F26" s="29">
        <v>2025</v>
      </c>
      <c r="G26" s="29">
        <v>2030</v>
      </c>
      <c r="H26" s="4">
        <v>2033</v>
      </c>
      <c r="I26" s="4" t="s">
        <v>59</v>
      </c>
      <c r="J26" s="16" t="s">
        <v>322</v>
      </c>
      <c r="K26" s="4" t="s">
        <v>323</v>
      </c>
      <c r="N26" s="53"/>
      <c r="O26" s="3"/>
      <c r="P26" s="3"/>
      <c r="Q26" s="3"/>
      <c r="R26" s="3"/>
      <c r="S26" s="3"/>
    </row>
    <row r="27" spans="1:19" x14ac:dyDescent="0.5">
      <c r="B27" s="3" t="s">
        <v>267</v>
      </c>
      <c r="C27" s="32">
        <f>C4</f>
        <v>346.5</v>
      </c>
      <c r="D27" s="54">
        <f>$C27*(1-$J27)^(D$26-$C$26)</f>
        <v>268.21155347760106</v>
      </c>
      <c r="E27" s="39"/>
      <c r="F27" s="54">
        <f>$C27*(1-$J27)^(F$26-$C$26)</f>
        <v>194.73556944842196</v>
      </c>
      <c r="G27" s="58">
        <f>110*Financials!D5</f>
        <v>141.38817480719794</v>
      </c>
      <c r="H27" s="39"/>
      <c r="I27" t="s">
        <v>268</v>
      </c>
      <c r="J27" s="168">
        <f>1-(G27/C27)^(1/(G$26-C$26))</f>
        <v>6.2020038036824099E-2</v>
      </c>
      <c r="K27" s="44"/>
      <c r="N27" s="53"/>
      <c r="O27" s="12"/>
      <c r="P27" s="12"/>
      <c r="Q27" s="12"/>
      <c r="R27" s="12"/>
    </row>
    <row r="28" spans="1:19" x14ac:dyDescent="0.5">
      <c r="B28" s="3" t="s">
        <v>269</v>
      </c>
      <c r="C28" s="32">
        <f>C5</f>
        <v>1312.5</v>
      </c>
      <c r="D28" s="54">
        <f>$C28*(1-$J28)^(D$26-$C$26)</f>
        <v>1224.0996194277141</v>
      </c>
      <c r="E28" s="39"/>
      <c r="F28" s="54">
        <f>$C28*(1-$J28)^(F$26-$C$26)</f>
        <v>1121.9243564618464</v>
      </c>
      <c r="G28" s="58">
        <f>800*Financials!D5</f>
        <v>1028.2776349614396</v>
      </c>
      <c r="H28" s="39"/>
      <c r="I28" t="s">
        <v>61</v>
      </c>
      <c r="J28" s="168">
        <f>1-(G28/C28)^(1/(G$26-C$26))</f>
        <v>1.7280977649983598E-2</v>
      </c>
      <c r="K28" s="44"/>
      <c r="N28" s="53"/>
      <c r="O28" s="12"/>
      <c r="P28" s="12"/>
      <c r="Q28" s="12"/>
      <c r="R28" s="12"/>
    </row>
    <row r="29" spans="1:19" x14ac:dyDescent="0.5">
      <c r="B29" s="3" t="s">
        <v>259</v>
      </c>
      <c r="C29">
        <f>C6</f>
        <v>13000</v>
      </c>
      <c r="D29" s="63"/>
      <c r="E29" s="39"/>
      <c r="F29" s="63"/>
      <c r="G29" s="63"/>
      <c r="H29" s="40"/>
      <c r="I29" t="s">
        <v>105</v>
      </c>
      <c r="J29" s="168">
        <f>1-(G29/C29)^(1/(G$26-C$26))</f>
        <v>1</v>
      </c>
      <c r="K29" s="44"/>
      <c r="N29" s="53"/>
      <c r="O29" s="32"/>
      <c r="P29" s="32"/>
      <c r="Q29" s="32"/>
    </row>
    <row r="30" spans="1:19" x14ac:dyDescent="0.5">
      <c r="B30" s="3" t="s">
        <v>260</v>
      </c>
      <c r="C30">
        <f>C7</f>
        <v>12</v>
      </c>
      <c r="D30" s="54">
        <f>$C30*(1-$J30)^(D$26-$C$26)</f>
        <v>13.885662430941007</v>
      </c>
      <c r="E30" s="39"/>
      <c r="F30" s="54">
        <f>$C30*(1-$J30)^(F$26-$C$26)</f>
        <v>16.66473067945654</v>
      </c>
      <c r="G30" s="58">
        <v>20</v>
      </c>
      <c r="H30" s="40"/>
      <c r="I30" t="s">
        <v>64</v>
      </c>
      <c r="J30" s="168">
        <f>1-(G30/C30)^(1/(G$26-C$26))</f>
        <v>-3.716138563040583E-2</v>
      </c>
      <c r="K30" s="44"/>
      <c r="N30" s="53"/>
      <c r="O30" s="32"/>
      <c r="P30" s="32"/>
      <c r="Q30" s="32"/>
    </row>
    <row r="31" spans="1:19" ht="14.7" thickBot="1" x14ac:dyDescent="0.55000000000000004">
      <c r="B31" s="5" t="s">
        <v>65</v>
      </c>
      <c r="C31" s="6">
        <f>C11</f>
        <v>10</v>
      </c>
      <c r="D31" s="55">
        <f>$C31*(1-$J31)^(D$26-$C$26)</f>
        <v>17.646706977626366</v>
      </c>
      <c r="E31" s="41"/>
      <c r="F31" s="55">
        <f>$C31*(1-$J31)^(F$26-$C$26)</f>
        <v>35.891637039381827</v>
      </c>
      <c r="G31" s="59">
        <v>73</v>
      </c>
      <c r="H31" s="42"/>
      <c r="I31" s="6" t="s">
        <v>66</v>
      </c>
      <c r="J31" s="169">
        <f>1-(G31/C31)^(1/(G$26-C$26))</f>
        <v>-0.15256630405605898</v>
      </c>
      <c r="K31" s="166"/>
      <c r="N31" s="53"/>
      <c r="O31" s="32"/>
      <c r="P31" s="32"/>
      <c r="Q31" s="32"/>
    </row>
    <row r="32" spans="1:19" ht="14.7" thickBot="1" x14ac:dyDescent="0.55000000000000004">
      <c r="J32" s="168"/>
      <c r="K32" s="44"/>
      <c r="N32" s="53"/>
    </row>
    <row r="33" spans="1:19" x14ac:dyDescent="0.5">
      <c r="A33" s="3" t="s">
        <v>325</v>
      </c>
      <c r="B33" s="4"/>
      <c r="C33" s="4">
        <v>2016</v>
      </c>
      <c r="D33" s="29">
        <v>2020</v>
      </c>
      <c r="E33" s="4">
        <v>2023</v>
      </c>
      <c r="F33" s="29">
        <v>2025</v>
      </c>
      <c r="G33" s="29">
        <v>2030</v>
      </c>
      <c r="H33" s="4">
        <v>2033</v>
      </c>
      <c r="I33" s="4" t="s">
        <v>59</v>
      </c>
      <c r="J33" s="170"/>
      <c r="K33" s="167"/>
      <c r="N33" s="53"/>
      <c r="O33" s="3"/>
      <c r="P33" s="3"/>
      <c r="Q33" s="3"/>
      <c r="R33" s="3"/>
      <c r="S33" s="3"/>
    </row>
    <row r="34" spans="1:19" x14ac:dyDescent="0.5">
      <c r="B34" s="3" t="s">
        <v>267</v>
      </c>
      <c r="C34" s="32">
        <f>C4</f>
        <v>346.5</v>
      </c>
      <c r="D34" s="54">
        <f>$C34*(1-$J34)^(D$26-$C$26)</f>
        <v>502.47642431369906</v>
      </c>
      <c r="E34" s="32">
        <f>500*Financials!D7</f>
        <v>664.01062416998673</v>
      </c>
      <c r="F34" s="54">
        <f>$E34*(1-$K34)^(F$26-$E$26)</f>
        <v>609.19692072410226</v>
      </c>
      <c r="G34" s="54">
        <f>$E34*(1-$K34)^(G$26-$E$26)</f>
        <v>491.15025943475092</v>
      </c>
      <c r="H34" s="32">
        <f>325*Financials!D7</f>
        <v>431.60690571049133</v>
      </c>
      <c r="I34" t="s">
        <v>268</v>
      </c>
      <c r="J34" s="168">
        <f>1-(E34/C34)^(1/(E$26-C$26))</f>
        <v>-9.7370074541319074E-2</v>
      </c>
      <c r="K34" s="44">
        <f>1-(H34/E34)^(1/(H$26-E$26))</f>
        <v>4.2163603421493501E-2</v>
      </c>
      <c r="N34" s="53"/>
      <c r="O34" s="12"/>
      <c r="P34" s="12"/>
      <c r="Q34" s="12"/>
      <c r="R34" s="12"/>
    </row>
    <row r="35" spans="1:19" x14ac:dyDescent="0.5">
      <c r="B35" s="3" t="s">
        <v>269</v>
      </c>
      <c r="C35" s="32">
        <f>C5</f>
        <v>1312.5</v>
      </c>
      <c r="D35" s="63"/>
      <c r="E35" s="39"/>
      <c r="F35" s="63"/>
      <c r="G35" s="63"/>
      <c r="H35" s="39"/>
      <c r="I35" t="s">
        <v>61</v>
      </c>
      <c r="J35" s="168"/>
      <c r="K35" s="44"/>
      <c r="N35" s="53"/>
      <c r="O35" s="12"/>
      <c r="P35" s="12"/>
      <c r="Q35" s="12"/>
      <c r="R35" s="12"/>
    </row>
    <row r="36" spans="1:19" x14ac:dyDescent="0.5">
      <c r="B36" s="3" t="s">
        <v>259</v>
      </c>
      <c r="C36">
        <f>C6</f>
        <v>13000</v>
      </c>
      <c r="D36" s="63"/>
      <c r="E36" s="39"/>
      <c r="F36" s="63"/>
      <c r="G36" s="63"/>
      <c r="H36" s="40"/>
      <c r="I36" t="s">
        <v>105</v>
      </c>
      <c r="J36" s="168"/>
      <c r="K36" s="44"/>
      <c r="N36" s="53"/>
      <c r="O36" s="32"/>
      <c r="P36" s="32"/>
      <c r="Q36" s="32"/>
    </row>
    <row r="37" spans="1:19" x14ac:dyDescent="0.5">
      <c r="B37" s="3" t="s">
        <v>260</v>
      </c>
      <c r="C37">
        <f>C7</f>
        <v>12</v>
      </c>
      <c r="D37" s="63"/>
      <c r="E37" s="39"/>
      <c r="F37" s="63"/>
      <c r="G37" s="63"/>
      <c r="H37" s="40"/>
      <c r="I37" t="s">
        <v>64</v>
      </c>
      <c r="J37" s="168"/>
      <c r="K37" s="44"/>
      <c r="N37" s="53"/>
      <c r="O37" s="32"/>
      <c r="P37" s="32"/>
      <c r="Q37" s="32"/>
    </row>
    <row r="38" spans="1:19" ht="14.7" thickBot="1" x14ac:dyDescent="0.55000000000000004">
      <c r="B38" s="5" t="s">
        <v>65</v>
      </c>
      <c r="C38" s="6">
        <f>C11</f>
        <v>10</v>
      </c>
      <c r="D38" s="55">
        <f>$C38*(1-$J38)^(D$26-$C$26)</f>
        <v>29.142172064963457</v>
      </c>
      <c r="E38" s="33">
        <v>65</v>
      </c>
      <c r="F38" s="55">
        <f>$E38*(1-$K38)^(F$26-$E$26)</f>
        <v>65</v>
      </c>
      <c r="G38" s="55">
        <f>$E38*(1-$K38)^(G$26-$E$26)</f>
        <v>65</v>
      </c>
      <c r="H38" s="6">
        <v>65</v>
      </c>
      <c r="I38" s="6" t="s">
        <v>66</v>
      </c>
      <c r="J38" s="169">
        <f>1-(E38/C38)^(1/(E$26-C$26))</f>
        <v>-0.30656337332913264</v>
      </c>
      <c r="K38" s="166">
        <f>1-(H38/E38)^(1/(H$26-E$26))</f>
        <v>0</v>
      </c>
      <c r="N38" s="53"/>
      <c r="O38" s="32"/>
      <c r="P38" s="32"/>
      <c r="Q38" s="32"/>
    </row>
    <row r="39" spans="1:19" ht="14.7" thickBot="1" x14ac:dyDescent="0.55000000000000004">
      <c r="J39" s="168"/>
      <c r="K39" s="44"/>
      <c r="N39" s="53"/>
    </row>
    <row r="40" spans="1:19" x14ac:dyDescent="0.5">
      <c r="A40" s="3" t="s">
        <v>326</v>
      </c>
      <c r="B40" s="4"/>
      <c r="C40" s="4">
        <v>2016</v>
      </c>
      <c r="D40" s="29">
        <v>2020</v>
      </c>
      <c r="E40" s="4">
        <v>2023</v>
      </c>
      <c r="F40" s="29">
        <v>2025</v>
      </c>
      <c r="G40" s="29">
        <v>2030</v>
      </c>
      <c r="H40" s="4">
        <v>2050</v>
      </c>
      <c r="I40" s="4" t="s">
        <v>59</v>
      </c>
      <c r="J40" s="170"/>
      <c r="K40" s="167"/>
      <c r="N40" s="53"/>
    </row>
    <row r="41" spans="1:19" x14ac:dyDescent="0.5">
      <c r="B41" s="3" t="s">
        <v>267</v>
      </c>
      <c r="C41" s="32">
        <f>C4</f>
        <v>346.5</v>
      </c>
      <c r="D41" s="54">
        <f>$C41*(1-$J41)^(D$26-$C$26)</f>
        <v>231.38096805741662</v>
      </c>
      <c r="E41" s="32">
        <f>154*Financials!D8</f>
        <v>170.9211986681465</v>
      </c>
      <c r="F41" s="54">
        <f>$E41*(1-$K41)^(F$40-$E$40)</f>
        <v>166.60109030250538</v>
      </c>
      <c r="G41" s="54">
        <f>$E41*(1-$K41)^(G$40-$E$40)</f>
        <v>156.27251903186465</v>
      </c>
      <c r="H41" s="32">
        <f>109*Financials!D8</f>
        <v>120.97669256381798</v>
      </c>
      <c r="I41" t="s">
        <v>268</v>
      </c>
      <c r="J41" s="168">
        <f>1-(E41/C41)^(1/(E$40-C$40))</f>
        <v>9.6025668678478615E-2</v>
      </c>
      <c r="K41" s="44">
        <f>1-(H41/E41)^(1/(H$40-E$40))</f>
        <v>1.2718601007885355E-2</v>
      </c>
    </row>
    <row r="42" spans="1:19" x14ac:dyDescent="0.5">
      <c r="B42" s="3" t="s">
        <v>269</v>
      </c>
      <c r="C42" s="32">
        <f>C5</f>
        <v>1312.5</v>
      </c>
      <c r="D42" s="63"/>
      <c r="E42" s="39"/>
      <c r="F42" s="63"/>
      <c r="G42" s="63"/>
      <c r="H42" s="39"/>
      <c r="I42" t="s">
        <v>61</v>
      </c>
      <c r="J42" s="168"/>
      <c r="K42" s="44"/>
    </row>
    <row r="43" spans="1:19" x14ac:dyDescent="0.5">
      <c r="B43" s="3" t="s">
        <v>259</v>
      </c>
      <c r="C43">
        <f>C6</f>
        <v>13000</v>
      </c>
      <c r="D43" s="54">
        <f>$C43*(1-$J43)^(D$26-$C$26)</f>
        <v>13000</v>
      </c>
      <c r="E43" s="32">
        <v>13000</v>
      </c>
      <c r="F43" s="54">
        <f t="shared" ref="F43:G45" si="0">$E43*(1-$K43)^(F$40-$E$40)</f>
        <v>13000</v>
      </c>
      <c r="G43" s="54">
        <f t="shared" si="0"/>
        <v>13000</v>
      </c>
      <c r="H43">
        <v>13000</v>
      </c>
      <c r="I43" t="s">
        <v>105</v>
      </c>
      <c r="J43" s="168">
        <f>1-(E43/C43)^(1/(E$40-C$40))</f>
        <v>0</v>
      </c>
      <c r="K43" s="44">
        <f>1-(H43/E43)^(1/(H$40-E$40))</f>
        <v>0</v>
      </c>
    </row>
    <row r="44" spans="1:19" x14ac:dyDescent="0.5">
      <c r="B44" s="3" t="s">
        <v>260</v>
      </c>
      <c r="C44" s="32">
        <f>C7</f>
        <v>12</v>
      </c>
      <c r="D44" s="54">
        <f>$C44*(1-$J44)^(D$26-$C$26)</f>
        <v>14.642657957273107</v>
      </c>
      <c r="E44" s="32">
        <v>17</v>
      </c>
      <c r="F44" s="54">
        <f t="shared" si="0"/>
        <v>17.327793907858741</v>
      </c>
      <c r="G44" s="54">
        <f t="shared" si="0"/>
        <v>18.175198190909164</v>
      </c>
      <c r="H44" s="32">
        <v>22</v>
      </c>
      <c r="I44" t="s">
        <v>64</v>
      </c>
      <c r="J44" s="168">
        <f>1-(E44/C44)^(1/(E$40-C$40))</f>
        <v>-5.1016823792615185E-2</v>
      </c>
      <c r="K44" s="44">
        <f>1-(H44/E44)^(1/(H$40-E$40))</f>
        <v>-9.5949656074587608E-3</v>
      </c>
    </row>
    <row r="45" spans="1:19" ht="14.7" thickBot="1" x14ac:dyDescent="0.55000000000000004">
      <c r="B45" s="5" t="s">
        <v>65</v>
      </c>
      <c r="C45" s="33">
        <f>C11</f>
        <v>10</v>
      </c>
      <c r="D45" s="55">
        <f>$C45*(1-$J45)^(D$26-$C$26)</f>
        <v>30.402770818287046</v>
      </c>
      <c r="E45" s="33">
        <v>70</v>
      </c>
      <c r="F45" s="55">
        <f t="shared" si="0"/>
        <v>70.288733816641852</v>
      </c>
      <c r="G45" s="55">
        <f t="shared" si="0"/>
        <v>71.015789560792285</v>
      </c>
      <c r="H45" s="33">
        <v>74</v>
      </c>
      <c r="I45" s="6" t="s">
        <v>66</v>
      </c>
      <c r="J45" s="169">
        <f>1-(E45/C45)^(1/(E$40-C$40))</f>
        <v>-0.32046924775612373</v>
      </c>
      <c r="K45" s="166">
        <f>1-(H45/E45)^(1/(H$40-E$40))</f>
        <v>-2.0602620646970049E-3</v>
      </c>
    </row>
    <row r="46" spans="1:19" ht="14.7" thickBot="1" x14ac:dyDescent="0.55000000000000004">
      <c r="B46" s="3"/>
      <c r="C46" s="32"/>
      <c r="D46" s="32"/>
      <c r="E46" s="32"/>
      <c r="F46" s="37"/>
      <c r="G46" s="37"/>
      <c r="J46" s="168"/>
      <c r="K46" s="44"/>
    </row>
    <row r="47" spans="1:19" x14ac:dyDescent="0.5">
      <c r="A47" s="3" t="s">
        <v>327</v>
      </c>
      <c r="B47" s="4"/>
      <c r="C47" s="4">
        <v>2016</v>
      </c>
      <c r="D47" s="4">
        <v>2017</v>
      </c>
      <c r="E47" s="29">
        <v>2020</v>
      </c>
      <c r="F47" s="29">
        <v>2025</v>
      </c>
      <c r="G47" s="29">
        <v>2030</v>
      </c>
      <c r="H47" s="4">
        <v>2050</v>
      </c>
      <c r="I47" s="4" t="s">
        <v>59</v>
      </c>
      <c r="J47" s="170"/>
      <c r="K47" s="167"/>
    </row>
    <row r="48" spans="1:19" x14ac:dyDescent="0.5">
      <c r="B48" s="3" t="s">
        <v>267</v>
      </c>
      <c r="C48" s="92">
        <f>C4</f>
        <v>346.5</v>
      </c>
      <c r="D48" s="92">
        <v>550</v>
      </c>
      <c r="E48" s="102">
        <v>350</v>
      </c>
      <c r="F48" s="65">
        <f>$E48*(1-$K48)^(F$47-$E$47)</f>
        <v>164.78220213863116</v>
      </c>
      <c r="G48" s="65">
        <f>$E48*(1-$K48)^(G$47-$E$47)</f>
        <v>77.580497547590554</v>
      </c>
      <c r="H48" s="172"/>
      <c r="I48" t="s">
        <v>268</v>
      </c>
      <c r="J48" s="168">
        <f>1-(D48/C48)^(1/(D$47-C$47))</f>
        <v>-0.58730158730158721</v>
      </c>
      <c r="K48" s="44">
        <f>1-(E48/D48)^(1/(E$47-D$47))</f>
        <v>0.13986137246278185</v>
      </c>
    </row>
    <row r="49" spans="1:11" x14ac:dyDescent="0.5">
      <c r="B49" s="3" t="s">
        <v>269</v>
      </c>
      <c r="C49" s="92">
        <f>C5</f>
        <v>1312.5</v>
      </c>
      <c r="D49" s="172"/>
      <c r="E49" s="94"/>
      <c r="F49" s="94"/>
      <c r="G49" s="94"/>
      <c r="H49" s="95"/>
      <c r="I49" t="s">
        <v>61</v>
      </c>
      <c r="J49" s="168"/>
      <c r="K49" s="44"/>
    </row>
    <row r="50" spans="1:11" x14ac:dyDescent="0.5">
      <c r="B50" s="3" t="s">
        <v>259</v>
      </c>
      <c r="C50" s="92">
        <f>C6</f>
        <v>13000</v>
      </c>
      <c r="D50" s="95"/>
      <c r="E50" s="63"/>
      <c r="F50" s="63"/>
      <c r="G50" s="63"/>
      <c r="H50" s="40"/>
      <c r="I50" t="s">
        <v>105</v>
      </c>
      <c r="J50" s="168"/>
      <c r="K50" s="44"/>
    </row>
    <row r="51" spans="1:11" x14ac:dyDescent="0.5">
      <c r="B51" s="3" t="s">
        <v>260</v>
      </c>
      <c r="C51" s="92">
        <f>C7</f>
        <v>12</v>
      </c>
      <c r="D51" s="95"/>
      <c r="E51" s="63"/>
      <c r="F51" s="63"/>
      <c r="G51" s="63"/>
      <c r="H51" s="39"/>
      <c r="I51" t="s">
        <v>64</v>
      </c>
      <c r="J51" s="168"/>
      <c r="K51" s="44"/>
    </row>
    <row r="52" spans="1:11" ht="14.7" thickBot="1" x14ac:dyDescent="0.55000000000000004">
      <c r="B52" s="5" t="s">
        <v>65</v>
      </c>
      <c r="C52" s="93">
        <f>C11</f>
        <v>10</v>
      </c>
      <c r="D52" s="173"/>
      <c r="E52" s="67"/>
      <c r="F52" s="67"/>
      <c r="G52" s="67"/>
      <c r="H52" s="41"/>
      <c r="I52" s="6" t="s">
        <v>66</v>
      </c>
      <c r="J52" s="169"/>
      <c r="K52" s="166"/>
    </row>
    <row r="53" spans="1:11" ht="14.7" thickBot="1" x14ac:dyDescent="0.55000000000000004">
      <c r="B53" s="3"/>
    </row>
    <row r="54" spans="1:11" x14ac:dyDescent="0.5">
      <c r="A54" s="3" t="s">
        <v>345</v>
      </c>
      <c r="B54" s="4"/>
      <c r="C54" s="4">
        <v>2016</v>
      </c>
      <c r="D54" s="4">
        <v>2020</v>
      </c>
      <c r="E54" s="29">
        <v>2023</v>
      </c>
      <c r="F54" s="29">
        <v>2025</v>
      </c>
      <c r="G54" s="29">
        <v>2030</v>
      </c>
      <c r="H54" s="4">
        <v>2035</v>
      </c>
      <c r="I54" s="4" t="s">
        <v>59</v>
      </c>
      <c r="J54" s="170"/>
      <c r="K54" s="167"/>
    </row>
    <row r="55" spans="1:11" x14ac:dyDescent="0.5">
      <c r="B55" s="3" t="s">
        <v>267</v>
      </c>
      <c r="C55" s="32">
        <f>C4</f>
        <v>346.5</v>
      </c>
      <c r="D55" s="39"/>
      <c r="E55" s="32">
        <f>430*Financials!D16</f>
        <v>464.86486486486478</v>
      </c>
      <c r="F55" s="54">
        <f>E55*(1-J55)^(F54-E54)</f>
        <v>421.81030662123533</v>
      </c>
      <c r="G55" s="54">
        <f>E55*(1-J55)^(G54-E54)</f>
        <v>330.82121176002983</v>
      </c>
      <c r="H55" s="39">
        <f>240*Financials!D16</f>
        <v>259.45945945945942</v>
      </c>
      <c r="I55" t="s">
        <v>268</v>
      </c>
      <c r="J55" s="168">
        <f>1-(H55/E55)^(1/(H54-E54))</f>
        <v>4.7433657776856708E-2</v>
      </c>
      <c r="K55" s="44"/>
    </row>
    <row r="56" spans="1:11" x14ac:dyDescent="0.5">
      <c r="B56" s="3" t="s">
        <v>269</v>
      </c>
      <c r="C56" s="32">
        <f>C5</f>
        <v>1312.5</v>
      </c>
      <c r="D56" s="39"/>
      <c r="E56" s="63"/>
      <c r="F56" s="63"/>
      <c r="G56" s="63"/>
      <c r="H56" s="39"/>
      <c r="I56" t="s">
        <v>61</v>
      </c>
      <c r="J56" s="168"/>
      <c r="K56" s="44"/>
    </row>
    <row r="57" spans="1:11" x14ac:dyDescent="0.5">
      <c r="B57" s="3" t="s">
        <v>259</v>
      </c>
      <c r="C57" s="92">
        <f>C6</f>
        <v>13000</v>
      </c>
      <c r="D57" s="95"/>
      <c r="E57" s="206" t="s">
        <v>573</v>
      </c>
      <c r="F57" s="63"/>
      <c r="G57" s="63"/>
      <c r="H57" s="40"/>
      <c r="I57" t="s">
        <v>105</v>
      </c>
      <c r="J57" s="168"/>
      <c r="K57" s="44"/>
    </row>
    <row r="58" spans="1:11" x14ac:dyDescent="0.5">
      <c r="B58" s="3" t="s">
        <v>260</v>
      </c>
      <c r="C58" s="92">
        <f>C7</f>
        <v>12</v>
      </c>
      <c r="D58" s="95"/>
      <c r="E58" s="208">
        <v>20</v>
      </c>
      <c r="F58" s="63"/>
      <c r="G58" s="63"/>
      <c r="H58" s="208">
        <v>20</v>
      </c>
      <c r="I58" t="s">
        <v>64</v>
      </c>
      <c r="J58" s="168"/>
      <c r="K58" s="44"/>
    </row>
    <row r="59" spans="1:11" x14ac:dyDescent="0.5">
      <c r="B59" s="3" t="s">
        <v>65</v>
      </c>
      <c r="C59" s="92">
        <f>C8</f>
        <v>70</v>
      </c>
      <c r="D59" s="95"/>
      <c r="E59" s="206" t="s">
        <v>574</v>
      </c>
      <c r="F59" s="63"/>
      <c r="G59" s="63"/>
      <c r="H59" s="208"/>
      <c r="I59" t="s">
        <v>66</v>
      </c>
      <c r="J59" s="168"/>
      <c r="K59" s="44"/>
    </row>
    <row r="60" spans="1:11" ht="14.7" thickBot="1" x14ac:dyDescent="0.55000000000000004">
      <c r="B60" s="5" t="s">
        <v>51</v>
      </c>
      <c r="C60" s="173"/>
      <c r="D60" s="173"/>
      <c r="E60" s="255" t="s">
        <v>575</v>
      </c>
      <c r="F60" s="67"/>
      <c r="G60" s="67"/>
      <c r="H60" s="41"/>
      <c r="I60" s="6" t="s">
        <v>74</v>
      </c>
      <c r="J60" s="169"/>
      <c r="K60" s="166"/>
    </row>
    <row r="61" spans="1:11" ht="14.7" thickBot="1" x14ac:dyDescent="0.55000000000000004"/>
    <row r="62" spans="1:11" x14ac:dyDescent="0.5">
      <c r="A62" s="3" t="s">
        <v>367</v>
      </c>
      <c r="B62" s="4"/>
      <c r="C62" s="4">
        <v>2016</v>
      </c>
      <c r="D62" s="4">
        <v>2020</v>
      </c>
      <c r="E62" s="29">
        <v>2021</v>
      </c>
      <c r="F62" s="29">
        <v>2025</v>
      </c>
      <c r="G62" s="29">
        <v>2030</v>
      </c>
      <c r="H62" s="4">
        <v>2035</v>
      </c>
      <c r="I62" s="4" t="s">
        <v>59</v>
      </c>
      <c r="J62" s="170"/>
      <c r="K62" s="167"/>
    </row>
    <row r="63" spans="1:11" x14ac:dyDescent="0.5">
      <c r="B63" s="3" t="s">
        <v>267</v>
      </c>
      <c r="C63" s="32">
        <f>C4</f>
        <v>346.5</v>
      </c>
      <c r="D63" s="39"/>
      <c r="E63" s="32">
        <f>417</f>
        <v>417</v>
      </c>
      <c r="F63" s="54">
        <f>E63*(1-J63)^(F62-E62)</f>
        <v>381.32892975038101</v>
      </c>
      <c r="G63" s="212">
        <v>341</v>
      </c>
      <c r="H63" s="39"/>
      <c r="I63" t="s">
        <v>268</v>
      </c>
      <c r="J63" s="168">
        <f>1-(G63/E63)^(1/(G62-E62))</f>
        <v>2.2107928731088133E-2</v>
      </c>
      <c r="K63" s="44"/>
    </row>
    <row r="64" spans="1:11" x14ac:dyDescent="0.5">
      <c r="B64" s="3" t="s">
        <v>269</v>
      </c>
      <c r="C64" s="32">
        <f>C5</f>
        <v>1312.5</v>
      </c>
      <c r="D64" s="39"/>
      <c r="E64" s="63"/>
      <c r="F64" s="63"/>
      <c r="G64" s="63"/>
      <c r="H64" s="39"/>
      <c r="I64" t="s">
        <v>61</v>
      </c>
      <c r="J64" s="168"/>
      <c r="K64" s="44"/>
    </row>
    <row r="65" spans="1:11" x14ac:dyDescent="0.5">
      <c r="B65" s="3" t="s">
        <v>259</v>
      </c>
      <c r="C65" s="92">
        <f>C6</f>
        <v>13000</v>
      </c>
      <c r="D65" s="95"/>
      <c r="E65" s="204" t="s">
        <v>328</v>
      </c>
      <c r="F65" s="63"/>
      <c r="G65" s="204" t="s">
        <v>328</v>
      </c>
      <c r="H65" s="40"/>
      <c r="I65" t="s">
        <v>105</v>
      </c>
      <c r="J65" s="168"/>
      <c r="K65" s="44"/>
    </row>
    <row r="66" spans="1:11" x14ac:dyDescent="0.5">
      <c r="B66" s="3" t="s">
        <v>260</v>
      </c>
      <c r="C66" s="92">
        <f>C7</f>
        <v>12</v>
      </c>
      <c r="D66" s="95"/>
      <c r="E66" s="208">
        <v>12</v>
      </c>
      <c r="F66" s="63"/>
      <c r="G66" s="208">
        <v>12</v>
      </c>
      <c r="H66" s="39"/>
      <c r="I66" t="s">
        <v>64</v>
      </c>
      <c r="J66" s="168"/>
      <c r="K66" s="44"/>
    </row>
    <row r="67" spans="1:11" x14ac:dyDescent="0.5">
      <c r="B67" s="3" t="s">
        <v>65</v>
      </c>
      <c r="C67" s="92">
        <f>C8</f>
        <v>70</v>
      </c>
      <c r="D67" s="95"/>
      <c r="E67" s="208">
        <v>65</v>
      </c>
      <c r="F67" s="63"/>
      <c r="G67" s="208">
        <v>65</v>
      </c>
      <c r="H67" s="39"/>
      <c r="I67" t="s">
        <v>66</v>
      </c>
      <c r="J67" s="168"/>
      <c r="K67" s="44"/>
    </row>
    <row r="68" spans="1:11" ht="14.7" thickBot="1" x14ac:dyDescent="0.55000000000000004">
      <c r="B68" s="5" t="s">
        <v>81</v>
      </c>
      <c r="C68" s="93">
        <f t="shared" ref="C68" si="1">C11</f>
        <v>10</v>
      </c>
      <c r="D68" s="173"/>
      <c r="E68" s="211">
        <v>80</v>
      </c>
      <c r="F68" s="67"/>
      <c r="G68" s="211">
        <v>80</v>
      </c>
      <c r="H68" s="41"/>
      <c r="I68" s="6" t="s">
        <v>66</v>
      </c>
      <c r="J68" s="169"/>
      <c r="K68" s="166"/>
    </row>
    <row r="69" spans="1:11" ht="14.7" thickBot="1" x14ac:dyDescent="0.55000000000000004"/>
    <row r="70" spans="1:11" x14ac:dyDescent="0.5">
      <c r="A70" s="3" t="s">
        <v>368</v>
      </c>
      <c r="B70" s="4"/>
      <c r="C70" s="4">
        <v>2016</v>
      </c>
      <c r="D70" s="4">
        <v>2020</v>
      </c>
      <c r="E70" s="29">
        <v>2024</v>
      </c>
      <c r="F70" s="29">
        <v>2025</v>
      </c>
      <c r="G70" s="29">
        <v>2030</v>
      </c>
      <c r="H70" s="4">
        <v>2035</v>
      </c>
      <c r="I70" s="4" t="s">
        <v>59</v>
      </c>
      <c r="J70" s="170"/>
      <c r="K70" s="167"/>
    </row>
    <row r="71" spans="1:11" x14ac:dyDescent="0.5">
      <c r="B71" s="3" t="s">
        <v>267</v>
      </c>
      <c r="C71" s="32">
        <f>C4</f>
        <v>346.5</v>
      </c>
      <c r="D71" s="39"/>
      <c r="E71" s="32">
        <f>438*Financials!D17</f>
        <v>474.02597402597399</v>
      </c>
      <c r="F71" s="63"/>
      <c r="G71" s="63"/>
      <c r="H71" s="39"/>
      <c r="I71" t="s">
        <v>268</v>
      </c>
      <c r="J71" s="168">
        <f>1-(G71/E71)^(1/(G70-E70))</f>
        <v>1</v>
      </c>
      <c r="K71" s="44"/>
    </row>
    <row r="72" spans="1:11" x14ac:dyDescent="0.5">
      <c r="B72" s="3" t="s">
        <v>269</v>
      </c>
      <c r="C72" s="32">
        <f>C5</f>
        <v>1312.5</v>
      </c>
      <c r="D72" s="39"/>
      <c r="E72" s="63"/>
      <c r="F72" s="63"/>
      <c r="G72" s="63"/>
      <c r="H72" s="39"/>
      <c r="I72" t="s">
        <v>61</v>
      </c>
      <c r="J72" s="168"/>
      <c r="K72" s="44"/>
    </row>
    <row r="73" spans="1:11" x14ac:dyDescent="0.5">
      <c r="B73" s="3" t="s">
        <v>259</v>
      </c>
      <c r="C73" s="92">
        <f>C6</f>
        <v>13000</v>
      </c>
      <c r="D73" s="95"/>
      <c r="E73" s="204"/>
      <c r="F73" s="63"/>
      <c r="G73" s="204"/>
      <c r="H73" s="40"/>
      <c r="I73" t="s">
        <v>105</v>
      </c>
      <c r="J73" s="168"/>
      <c r="K73" s="44"/>
    </row>
    <row r="74" spans="1:11" x14ac:dyDescent="0.5">
      <c r="B74" s="3" t="s">
        <v>260</v>
      </c>
      <c r="C74" s="92">
        <f>C7</f>
        <v>12</v>
      </c>
      <c r="D74" s="95"/>
      <c r="E74" s="39"/>
      <c r="F74" s="63"/>
      <c r="G74" s="39"/>
      <c r="H74" s="39"/>
      <c r="I74" t="s">
        <v>64</v>
      </c>
      <c r="J74" s="168"/>
      <c r="K74" s="44"/>
    </row>
    <row r="75" spans="1:11" ht="14.7" thickBot="1" x14ac:dyDescent="0.55000000000000004">
      <c r="B75" s="5" t="s">
        <v>65</v>
      </c>
      <c r="C75" s="93">
        <f>C8</f>
        <v>70</v>
      </c>
      <c r="D75" s="173"/>
      <c r="E75" s="241"/>
      <c r="F75" s="67"/>
      <c r="G75" s="67"/>
      <c r="H75" s="41"/>
      <c r="I75" s="6" t="s">
        <v>66</v>
      </c>
      <c r="J75" s="169"/>
      <c r="K75" s="166"/>
    </row>
  </sheetData>
  <hyperlinks>
    <hyperlink ref="E19" r:id="rId1" xr:uid="{00000000-0004-0000-2400-000002000000}"/>
    <hyperlink ref="E20" r:id="rId2" xr:uid="{00000000-0004-0000-2400-000003000000}"/>
    <hyperlink ref="E17" r:id="rId3" xr:uid="{4A827251-8F94-4BB3-ADC2-4B1062B6C5A2}"/>
    <hyperlink ref="E21" r:id="rId4" xr:uid="{002B187F-9A70-4722-B512-292A30A3F112}"/>
    <hyperlink ref="E22" r:id="rId5" xr:uid="{D1B77D6A-C402-4FA0-AB92-5B9F3A37C684}"/>
  </hyperlinks>
  <pageMargins left="0.7" right="0.7" top="0.75" bottom="0.75" header="0.3" footer="0.3"/>
  <pageSetup paperSize="9" orientation="portrait"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Tabelle37">
    <tabColor theme="3" tint="0.59999389629810485"/>
  </sheetPr>
  <dimension ref="B3:L18"/>
  <sheetViews>
    <sheetView workbookViewId="0">
      <selection activeCell="I61" sqref="I61"/>
    </sheetView>
  </sheetViews>
  <sheetFormatPr defaultColWidth="11.46875" defaultRowHeight="14.35" x14ac:dyDescent="0.5"/>
  <cols>
    <col min="2" max="2" width="27.64453125" bestFit="1" customWidth="1"/>
    <col min="12" max="12" width="20.17578125" bestFit="1" customWidth="1"/>
  </cols>
  <sheetData>
    <row r="3" spans="2:12" x14ac:dyDescent="0.5">
      <c r="C3" s="425">
        <v>2016</v>
      </c>
      <c r="D3" s="425"/>
      <c r="E3" s="425"/>
      <c r="F3" s="426">
        <v>2025</v>
      </c>
      <c r="G3" s="426"/>
      <c r="H3" s="426"/>
      <c r="I3" s="426">
        <v>2030</v>
      </c>
      <c r="J3" s="426"/>
      <c r="K3" s="426"/>
      <c r="L3" s="105"/>
    </row>
    <row r="4" spans="2:12" ht="18.350000000000001" thickBot="1" x14ac:dyDescent="0.65">
      <c r="B4" s="104" t="s">
        <v>576</v>
      </c>
      <c r="C4" s="106" t="s">
        <v>56</v>
      </c>
      <c r="D4" s="106" t="s">
        <v>57</v>
      </c>
      <c r="E4" s="106" t="s">
        <v>58</v>
      </c>
      <c r="F4" s="106" t="s">
        <v>56</v>
      </c>
      <c r="G4" s="106" t="s">
        <v>57</v>
      </c>
      <c r="H4" s="106" t="s">
        <v>58</v>
      </c>
      <c r="I4" s="106" t="s">
        <v>56</v>
      </c>
      <c r="J4" s="106" t="s">
        <v>57</v>
      </c>
      <c r="K4" s="106" t="s">
        <v>58</v>
      </c>
      <c r="L4" s="106" t="s">
        <v>59</v>
      </c>
    </row>
    <row r="5" spans="2:12" x14ac:dyDescent="0.5">
      <c r="B5" s="18" t="s">
        <v>255</v>
      </c>
      <c r="C5" s="81">
        <f>'Overview 2016 (in)'!J54</f>
        <v>70</v>
      </c>
      <c r="D5" s="19">
        <f>'Overview 2016 (in)'!K54</f>
        <v>15</v>
      </c>
      <c r="E5" s="20">
        <f>'Overview 2016 (in)'!L54</f>
        <v>45</v>
      </c>
      <c r="F5" s="81">
        <f t="shared" ref="F5:F15" si="0">IFERROR(C5*H5/E5,0)</f>
        <v>70</v>
      </c>
      <c r="G5" s="19">
        <f t="shared" ref="G5:G15" si="1">IFERROR(D5*H5/E5, 0)</f>
        <v>15</v>
      </c>
      <c r="H5" s="20">
        <f>E5</f>
        <v>45</v>
      </c>
      <c r="I5" s="81">
        <f>IFERROR(F5*K5/H5,0)</f>
        <v>70</v>
      </c>
      <c r="J5" s="19">
        <f>IFERROR(G5*K5/H5, 0)</f>
        <v>15</v>
      </c>
      <c r="K5" s="20">
        <f>H5</f>
        <v>45</v>
      </c>
      <c r="L5" s="21" t="s">
        <v>256</v>
      </c>
    </row>
    <row r="6" spans="2:12" x14ac:dyDescent="0.5">
      <c r="B6" s="3" t="s">
        <v>257</v>
      </c>
      <c r="C6" s="82">
        <f>'Overview 2016 (in)'!J55</f>
        <v>2</v>
      </c>
      <c r="D6" s="83">
        <f>'Overview 2016 (in)'!K55</f>
        <v>0.5</v>
      </c>
      <c r="E6" s="84">
        <f>'Overview 2016 (in)'!L55</f>
        <v>1.3</v>
      </c>
      <c r="F6" s="82">
        <f t="shared" si="0"/>
        <v>2</v>
      </c>
      <c r="G6" s="83">
        <f t="shared" si="1"/>
        <v>0.5</v>
      </c>
      <c r="H6" s="84">
        <f>E6</f>
        <v>1.3</v>
      </c>
      <c r="I6" s="82">
        <f t="shared" ref="I6:I15" si="2">IFERROR(F6*K6/H6,0)</f>
        <v>2</v>
      </c>
      <c r="J6" s="83">
        <f t="shared" ref="J6:J13" si="3">IFERROR(G6*K6/H6, 0)</f>
        <v>0.5</v>
      </c>
      <c r="K6" s="84">
        <f>H6</f>
        <v>1.3</v>
      </c>
      <c r="L6" s="22" t="s">
        <v>258</v>
      </c>
    </row>
    <row r="7" spans="2:12" x14ac:dyDescent="0.5">
      <c r="B7" s="18" t="s">
        <v>259</v>
      </c>
      <c r="C7" s="85">
        <f>'Overview 2016 (in)'!J56</f>
        <v>14000</v>
      </c>
      <c r="D7" s="23">
        <f>'Overview 2016 (in)'!K56</f>
        <v>12000</v>
      </c>
      <c r="E7" s="107">
        <f>'Overview 2016 (in)'!L56</f>
        <v>13000</v>
      </c>
      <c r="F7" s="85">
        <f t="shared" ca="1" si="0"/>
        <v>14000</v>
      </c>
      <c r="G7" s="23">
        <f t="shared" ca="1" si="1"/>
        <v>12000</v>
      </c>
      <c r="H7" s="107">
        <f ca="1">INDIRECT(ADDRESS(ROW($B6),COLUMN(E$4),1,,$B$4))</f>
        <v>13000</v>
      </c>
      <c r="I7" s="85">
        <f t="shared" ca="1" si="2"/>
        <v>14000</v>
      </c>
      <c r="J7" s="23">
        <f t="shared" ca="1" si="3"/>
        <v>12000</v>
      </c>
      <c r="K7" s="107">
        <f ca="1">INDIRECT(ADDRESS(ROW($B6),COLUMN($F4),1,,$B$4))</f>
        <v>13000</v>
      </c>
      <c r="L7" s="21" t="s">
        <v>105</v>
      </c>
    </row>
    <row r="8" spans="2:12" x14ac:dyDescent="0.5">
      <c r="B8" s="3" t="s">
        <v>260</v>
      </c>
      <c r="C8" s="86">
        <f>'Overview 2016 (in)'!J57</f>
        <v>20</v>
      </c>
      <c r="D8" s="87">
        <f>'Overview 2016 (in)'!K57</f>
        <v>5</v>
      </c>
      <c r="E8" s="109">
        <f>'Overview 2016 (in)'!L57</f>
        <v>12</v>
      </c>
      <c r="F8" s="86">
        <f t="shared" ca="1" si="0"/>
        <v>26.666666666666668</v>
      </c>
      <c r="G8" s="87">
        <f t="shared" ca="1" si="1"/>
        <v>6.666666666666667</v>
      </c>
      <c r="H8" s="109">
        <f ca="1">INDIRECT(ADDRESS(ROW($B7),COLUMN(E$4),1,,$B$4))</f>
        <v>16</v>
      </c>
      <c r="I8" s="86">
        <f t="shared" ca="1" si="2"/>
        <v>33.333333333333336</v>
      </c>
      <c r="J8" s="87">
        <f t="shared" ca="1" si="3"/>
        <v>8.3333333333333339</v>
      </c>
      <c r="K8" s="109">
        <f ca="1">INDIRECT(ADDRESS(ROW($B7),COLUMN($F4),1,,$B$4))</f>
        <v>20</v>
      </c>
      <c r="L8" s="22" t="s">
        <v>64</v>
      </c>
    </row>
    <row r="9" spans="2:12" x14ac:dyDescent="0.5">
      <c r="B9" s="18" t="s">
        <v>81</v>
      </c>
      <c r="C9" s="85">
        <f>'Overview 2016 (in)'!J58</f>
        <v>100</v>
      </c>
      <c r="D9" s="23">
        <f>'Vanadium Flow (calc)'!D11</f>
        <v>10</v>
      </c>
      <c r="E9" s="24">
        <f>AVERAGE(C9:D9)</f>
        <v>55</v>
      </c>
      <c r="F9" s="85">
        <f t="shared" si="0"/>
        <v>100</v>
      </c>
      <c r="G9" s="23">
        <f>'Vanadium Flow (calc)'!E11</f>
        <v>10</v>
      </c>
      <c r="H9" s="24">
        <f>E9</f>
        <v>55</v>
      </c>
      <c r="I9" s="85">
        <f t="shared" si="2"/>
        <v>100</v>
      </c>
      <c r="J9" s="23">
        <f>'Vanadium Flow (calc)'!F11</f>
        <v>10</v>
      </c>
      <c r="K9" s="24">
        <f>H9</f>
        <v>55</v>
      </c>
      <c r="L9" s="21" t="s">
        <v>66</v>
      </c>
    </row>
    <row r="10" spans="2:12" x14ac:dyDescent="0.5">
      <c r="B10" s="3" t="s">
        <v>65</v>
      </c>
      <c r="C10" s="86">
        <f>'Overview 2016 (in)'!J59</f>
        <v>85</v>
      </c>
      <c r="D10" s="87">
        <f>'Overview 2016 (in)'!K59</f>
        <v>60</v>
      </c>
      <c r="E10" s="109">
        <f>'Overview 2016 (in)'!L59</f>
        <v>70</v>
      </c>
      <c r="F10" s="86">
        <f t="shared" ca="1" si="0"/>
        <v>86.214285714285708</v>
      </c>
      <c r="G10" s="87">
        <f t="shared" ca="1" si="1"/>
        <v>60.857142857142854</v>
      </c>
      <c r="H10" s="109">
        <f ca="1">INDIRECT(ADDRESS(ROW($B8),COLUMN(E$4),1,,$B$4))</f>
        <v>71</v>
      </c>
      <c r="I10" s="86">
        <f t="shared" ca="1" si="2"/>
        <v>87.428571428571416</v>
      </c>
      <c r="J10" s="87">
        <f t="shared" ca="1" si="3"/>
        <v>61.714285714285708</v>
      </c>
      <c r="K10" s="109">
        <f ca="1">INDIRECT(ADDRESS(ROW($B8),COLUMN($F4),1,,$B$4))</f>
        <v>72</v>
      </c>
      <c r="L10" s="22" t="s">
        <v>66</v>
      </c>
    </row>
    <row r="11" spans="2:12" x14ac:dyDescent="0.5">
      <c r="B11" s="18" t="s">
        <v>137</v>
      </c>
      <c r="C11" s="81">
        <f>'Overview 2016 (in)'!J60</f>
        <v>0</v>
      </c>
      <c r="D11" s="19">
        <f>'Overview 2016 (in)'!K60</f>
        <v>1</v>
      </c>
      <c r="E11" s="20">
        <f>'Overview 2016 (in)'!L60</f>
        <v>0.15</v>
      </c>
      <c r="F11" s="81">
        <f t="shared" si="0"/>
        <v>0</v>
      </c>
      <c r="G11" s="19">
        <f t="shared" si="1"/>
        <v>1</v>
      </c>
      <c r="H11" s="20">
        <f>E11</f>
        <v>0.15</v>
      </c>
      <c r="I11" s="81">
        <f t="shared" si="2"/>
        <v>0</v>
      </c>
      <c r="J11" s="19">
        <f t="shared" si="3"/>
        <v>1</v>
      </c>
      <c r="K11" s="20">
        <f>H11</f>
        <v>0.15</v>
      </c>
      <c r="L11" s="21" t="s">
        <v>261</v>
      </c>
    </row>
    <row r="12" spans="2:12" x14ac:dyDescent="0.5">
      <c r="B12" s="28" t="s">
        <v>262</v>
      </c>
      <c r="C12" s="82" t="str">
        <f>'Overview 2016 (in)'!J61</f>
        <v>&lt; 0.001</v>
      </c>
      <c r="D12" s="83">
        <f>'Overview 2016 (in)'!K61</f>
        <v>0.02</v>
      </c>
      <c r="E12" s="84">
        <f>'Overview 2016 (in)'!L61</f>
        <v>0.01</v>
      </c>
      <c r="F12" s="82">
        <f t="shared" si="0"/>
        <v>0</v>
      </c>
      <c r="G12" s="83">
        <f t="shared" si="1"/>
        <v>0.02</v>
      </c>
      <c r="H12" s="84">
        <f>E12</f>
        <v>0.01</v>
      </c>
      <c r="I12" s="82">
        <f t="shared" si="2"/>
        <v>0</v>
      </c>
      <c r="J12" s="83">
        <f t="shared" si="3"/>
        <v>0.02</v>
      </c>
      <c r="K12" s="84">
        <f>H12</f>
        <v>0.01</v>
      </c>
      <c r="L12" s="88" t="s">
        <v>265</v>
      </c>
    </row>
    <row r="13" spans="2:12" x14ac:dyDescent="0.5">
      <c r="B13" s="89" t="s">
        <v>266</v>
      </c>
      <c r="C13" s="90">
        <f>'Overview 2016 (in)'!J62</f>
        <v>0</v>
      </c>
      <c r="D13" s="25">
        <f>'Overview 2016 (in)'!K62</f>
        <v>0</v>
      </c>
      <c r="E13" s="26">
        <f>'Overview 2016 (in)'!L62</f>
        <v>0</v>
      </c>
      <c r="F13" s="90">
        <f t="shared" si="0"/>
        <v>0</v>
      </c>
      <c r="G13" s="25">
        <f t="shared" si="1"/>
        <v>0</v>
      </c>
      <c r="H13" s="26">
        <f>E13</f>
        <v>0</v>
      </c>
      <c r="I13" s="90">
        <f t="shared" si="2"/>
        <v>0</v>
      </c>
      <c r="J13" s="25">
        <f t="shared" si="3"/>
        <v>0</v>
      </c>
      <c r="K13" s="26">
        <f>H13</f>
        <v>0</v>
      </c>
      <c r="L13" s="21" t="s">
        <v>64</v>
      </c>
    </row>
    <row r="14" spans="2:12" x14ac:dyDescent="0.5">
      <c r="B14" s="28" t="s">
        <v>267</v>
      </c>
      <c r="C14" s="86">
        <f>'Overview 2016 (in)'!J63</f>
        <v>315</v>
      </c>
      <c r="D14" s="87">
        <f>'Overview 2016 (in)'!K63</f>
        <v>1050</v>
      </c>
      <c r="E14" s="108">
        <f>'Overview 2016 (in)'!L63</f>
        <v>346.5</v>
      </c>
      <c r="F14" s="86">
        <f t="shared" ca="1" si="0"/>
        <v>365.06328925982564</v>
      </c>
      <c r="G14" s="87">
        <f t="shared" ca="1" si="1"/>
        <v>1216.8776308660854</v>
      </c>
      <c r="H14" s="108">
        <f ca="1">IF(CELL("format",INDIRECT(ADDRESS(ROW($B4),COLUMN(E$4),1,,$B$4)))="W0-",INDIRECT(ADDRESS(ROW($B4),COLUMN(E$4),1,,$B$4))*'Overview 2016 (in)'!$O$7,INDIRECT(ADDRESS(ROW($B4),COLUMN(E$4),1,,$B$4)))</f>
        <v>401.56961818580817</v>
      </c>
      <c r="I14" s="86">
        <f t="shared" ca="1" si="2"/>
        <v>305.3732780727409</v>
      </c>
      <c r="J14" s="87">
        <f t="shared" ref="J14:J15" ca="1" si="4">IFERROR(G14*K14/H14,0)</f>
        <v>1017.9109269091363</v>
      </c>
      <c r="K14" s="108">
        <f ca="1">IF(CELL("format",INDIRECT(ADDRESS(ROW($B4),COLUMN($F4),1,,$B$4)))="W0-",INDIRECT(ADDRESS(ROW($B4),COLUMN($F4),1,,$B$4))*'Overview 2016 (in)'!$O$7,INDIRECT(ADDRESS(ROW($B4),COLUMN($F4),1,,$B$4)))</f>
        <v>335.91060588001494</v>
      </c>
      <c r="L14" s="88" t="s">
        <v>268</v>
      </c>
    </row>
    <row r="15" spans="2:12" x14ac:dyDescent="0.5">
      <c r="B15" s="89" t="s">
        <v>269</v>
      </c>
      <c r="C15" s="23">
        <f>'Overview 2016 (in)'!J64</f>
        <v>1050</v>
      </c>
      <c r="D15" s="23">
        <f>'Overview 2016 (in)'!K64</f>
        <v>1575</v>
      </c>
      <c r="E15" s="107">
        <f>'Overview 2016 (in)'!L64</f>
        <v>1312.5</v>
      </c>
      <c r="F15" s="23">
        <f t="shared" ca="1" si="0"/>
        <v>897.6</v>
      </c>
      <c r="G15" s="23">
        <f t="shared" ca="1" si="1"/>
        <v>1346.4</v>
      </c>
      <c r="H15" s="107">
        <f ca="1">IF(CELL("format",INDIRECT(ADDRESS(ROW($B5),COLUMN(E$4),1,,$B$4)))="W0-",INDIRECT(ADDRESS(ROW($B5),COLUMN(E$4),1,,$B$4))*'Overview 2016 (in)'!$O$7,INDIRECT(ADDRESS(ROW($B5),COLUMN(E$4),1,,$B$4)))</f>
        <v>1122</v>
      </c>
      <c r="I15" s="23">
        <f t="shared" ca="1" si="2"/>
        <v>822.40000000000009</v>
      </c>
      <c r="J15" s="23">
        <f t="shared" ca="1" si="4"/>
        <v>1233.6000000000001</v>
      </c>
      <c r="K15" s="107">
        <f ca="1">IF(CELL("format",INDIRECT(ADDRESS(ROW($B5),COLUMN($F4),1,,$B$4)))="W0-",INDIRECT(ADDRESS(ROW($B5),COLUMN($F4),1,,$B$4))*'Overview 2016 (in)'!$O$7,INDIRECT(ADDRESS(ROW($B5),COLUMN($F4),1,,$B$4)))</f>
        <v>1028</v>
      </c>
      <c r="L15" s="21" t="s">
        <v>61</v>
      </c>
    </row>
    <row r="16" spans="2:12" ht="14.7" thickBot="1" x14ac:dyDescent="0.55000000000000004">
      <c r="B16" s="245" t="s">
        <v>51</v>
      </c>
      <c r="C16" s="253">
        <f>'Vanadium Flow (calc)'!C10</f>
        <v>5</v>
      </c>
      <c r="D16" s="253">
        <f>'Vanadium Flow (calc)'!C11</f>
        <v>10</v>
      </c>
      <c r="E16" s="254">
        <f>AVERAGE(C16:D16)</f>
        <v>7.5</v>
      </c>
      <c r="F16" s="253">
        <f>C16</f>
        <v>5</v>
      </c>
      <c r="G16" s="253">
        <f t="shared" ref="G16:K16" si="5">D16</f>
        <v>10</v>
      </c>
      <c r="H16" s="280">
        <f t="shared" si="5"/>
        <v>7.5</v>
      </c>
      <c r="I16" s="253">
        <f t="shared" si="5"/>
        <v>5</v>
      </c>
      <c r="J16" s="253">
        <f t="shared" si="5"/>
        <v>10</v>
      </c>
      <c r="K16" s="280">
        <f t="shared" si="5"/>
        <v>7.5</v>
      </c>
      <c r="L16" s="135" t="s">
        <v>74</v>
      </c>
    </row>
    <row r="17" spans="2:3" x14ac:dyDescent="0.5">
      <c r="C17" s="111"/>
    </row>
    <row r="18" spans="2:3" ht="18" x14ac:dyDescent="0.6">
      <c r="B18" s="1"/>
    </row>
  </sheetData>
  <mergeCells count="3">
    <mergeCell ref="C3:E3"/>
    <mergeCell ref="F3:H3"/>
    <mergeCell ref="I3:K3"/>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pageSetUpPr fitToPage="1"/>
  </sheetPr>
  <dimension ref="A2:X61"/>
  <sheetViews>
    <sheetView zoomScale="60" zoomScaleNormal="60" workbookViewId="0"/>
  </sheetViews>
  <sheetFormatPr defaultColWidth="11.46875" defaultRowHeight="14.35" x14ac:dyDescent="0.5"/>
  <cols>
    <col min="1" max="1" width="11.46875" style="13"/>
    <col min="2" max="2" width="20.8203125" style="13" customWidth="1"/>
    <col min="3" max="4" width="11.46875" style="13"/>
    <col min="5" max="5" width="13.8203125" style="13" bestFit="1" customWidth="1"/>
    <col min="6" max="6" width="18.17578125" style="13" customWidth="1"/>
    <col min="7" max="24" width="11.46875" style="13"/>
  </cols>
  <sheetData>
    <row r="2" spans="1:8" ht="18" x14ac:dyDescent="0.6">
      <c r="B2" s="137" t="s">
        <v>147</v>
      </c>
    </row>
    <row r="4" spans="1:8" x14ac:dyDescent="0.5">
      <c r="C4" s="415" t="str">
        <f>'Cost-of-Service'!B54</f>
        <v>FCR + aFRR + arbitrage</v>
      </c>
      <c r="D4" s="415"/>
      <c r="E4" s="415"/>
      <c r="F4" s="28"/>
    </row>
    <row r="5" spans="1:8" ht="14.7" thickBot="1" x14ac:dyDescent="0.55000000000000004">
      <c r="A5" s="126" t="s">
        <v>49</v>
      </c>
      <c r="B5" s="42" t="s">
        <v>148</v>
      </c>
      <c r="C5" s="136">
        <v>2016</v>
      </c>
      <c r="D5" s="136">
        <v>2025</v>
      </c>
      <c r="E5" s="136">
        <v>2030</v>
      </c>
      <c r="F5" s="120" t="s">
        <v>149</v>
      </c>
    </row>
    <row r="6" spans="1:8" x14ac:dyDescent="0.5">
      <c r="B6" s="13" t="s">
        <v>50</v>
      </c>
      <c r="C6" s="182">
        <v>2.9853569866514134</v>
      </c>
      <c r="D6" s="182">
        <v>3.6074904526173142</v>
      </c>
      <c r="E6" s="182">
        <v>3.6074904526173142</v>
      </c>
      <c r="F6" s="13" t="s">
        <v>150</v>
      </c>
    </row>
    <row r="7" spans="1:8" x14ac:dyDescent="0.5">
      <c r="B7" s="13" t="s">
        <v>151</v>
      </c>
      <c r="C7" s="182">
        <v>7.058981602008739</v>
      </c>
      <c r="D7" s="182">
        <v>6.0296116641782138</v>
      </c>
      <c r="E7" s="182">
        <v>6.0158909676127017</v>
      </c>
      <c r="F7" s="13" t="s">
        <v>150</v>
      </c>
    </row>
    <row r="8" spans="1:8" x14ac:dyDescent="0.5">
      <c r="B8" s="13" t="s">
        <v>152</v>
      </c>
      <c r="C8" s="182">
        <v>27.93251769565029</v>
      </c>
      <c r="D8" s="182">
        <v>21.614610379397575</v>
      </c>
      <c r="E8" s="182">
        <v>18.389577423939471</v>
      </c>
      <c r="F8" s="13" t="s">
        <v>150</v>
      </c>
    </row>
    <row r="9" spans="1:8" x14ac:dyDescent="0.5">
      <c r="B9" s="13" t="s">
        <v>153</v>
      </c>
      <c r="C9" s="182">
        <v>22.79089413382026</v>
      </c>
      <c r="D9" s="182">
        <v>5.2315485930678962</v>
      </c>
      <c r="E9" s="182">
        <v>2.634541543469791</v>
      </c>
      <c r="F9" s="13" t="s">
        <v>150</v>
      </c>
    </row>
    <row r="10" spans="1:8" x14ac:dyDescent="0.5">
      <c r="B10" s="13" t="s">
        <v>154</v>
      </c>
      <c r="C10" s="182" t="e">
        <v>#N/A</v>
      </c>
      <c r="D10" s="182">
        <v>15.693636114470193</v>
      </c>
      <c r="E10" s="182">
        <v>13.364835545000142</v>
      </c>
      <c r="F10" s="13" t="s">
        <v>150</v>
      </c>
    </row>
    <row r="11" spans="1:8" x14ac:dyDescent="0.5">
      <c r="H11" s="134" t="s">
        <v>155</v>
      </c>
    </row>
    <row r="12" spans="1:8" ht="14.7" thickBot="1" x14ac:dyDescent="0.55000000000000004">
      <c r="B12" s="135"/>
      <c r="C12" s="135"/>
      <c r="D12" s="135"/>
      <c r="E12" s="135"/>
      <c r="F12" s="135"/>
    </row>
    <row r="14" spans="1:8" x14ac:dyDescent="0.5">
      <c r="B14" s="133" t="str">
        <f>'Cost-of-Service'!B4</f>
        <v>Li-Ion (LFP)</v>
      </c>
      <c r="C14" s="122">
        <f ca="1">IF(B5="Power",'Cost-of-Service'!E134,'Cost-of-Service'!E135)</f>
        <v>20.557384479340168</v>
      </c>
      <c r="D14" s="122">
        <f ca="1">IF(C5="Power",'Cost-of-Service'!H134,'Cost-of-Service'!H135)</f>
        <v>4.9443925811472544</v>
      </c>
      <c r="E14" s="122">
        <f ca="1">IF(D5="Power",'Cost-of-Service'!K134,'Cost-of-Service'!K135)</f>
        <v>2.6718580442020419</v>
      </c>
      <c r="F14" s="304" t="str">
        <f>IF($B$5="Power","USD per kW","USD cents per kWh")</f>
        <v>USD cents per kWh</v>
      </c>
    </row>
    <row r="16" spans="1:8" x14ac:dyDescent="0.5">
      <c r="E16" s="131" t="s">
        <v>146</v>
      </c>
      <c r="F16" s="132" t="str">
        <f>'Cost-of-Service'!H140</f>
        <v>OK</v>
      </c>
    </row>
    <row r="22" spans="2:6" ht="18" x14ac:dyDescent="0.6">
      <c r="B22" s="137" t="s">
        <v>156</v>
      </c>
    </row>
    <row r="24" spans="2:6" x14ac:dyDescent="0.5">
      <c r="C24" s="416" t="str">
        <f>C4</f>
        <v>FCR + aFRR + arbitrage</v>
      </c>
      <c r="D24" s="416"/>
      <c r="E24" s="416"/>
    </row>
    <row r="25" spans="2:6" ht="14.7" thickBot="1" x14ac:dyDescent="0.55000000000000004">
      <c r="B25" s="120" t="str">
        <f>B14</f>
        <v>Li-Ion (LFP)</v>
      </c>
      <c r="C25" s="293">
        <v>2016</v>
      </c>
      <c r="D25" s="293">
        <v>2025</v>
      </c>
      <c r="E25" s="293">
        <v>2030</v>
      </c>
      <c r="F25" s="120" t="s">
        <v>149</v>
      </c>
    </row>
    <row r="26" spans="2:6" x14ac:dyDescent="0.5">
      <c r="B26" s="13" t="s">
        <v>157</v>
      </c>
      <c r="C26" s="302">
        <f ca="1">IF(B5="Power",'Cost-of-Service'!C134,'Cost-of-Service'!C135)</f>
        <v>3.7051009168220035</v>
      </c>
      <c r="D26" s="302">
        <f ca="1">IF(B5="Power",'Cost-of-Service'!F134,'Cost-of-Service'!F135)</f>
        <v>1.4004050340241758</v>
      </c>
      <c r="E26" s="302">
        <f ca="1">IF(B5="Power",'Cost-of-Service'!I134,'Cost-of-Service'!I135)</f>
        <v>0.8895780575260348</v>
      </c>
      <c r="F26" s="13" t="str">
        <f>F14</f>
        <v>USD cents per kWh</v>
      </c>
    </row>
    <row r="27" spans="2:6" x14ac:dyDescent="0.5">
      <c r="B27" s="13" t="s">
        <v>158</v>
      </c>
      <c r="C27" s="302">
        <f ca="1">IF(B5="Power",'Cost-of-Service'!D134,'Cost-of-Service'!D135)</f>
        <v>64.699201327224728</v>
      </c>
      <c r="D27" s="302">
        <f ca="1">IF(B5="Power",'Cost-of-Service'!G134,'Cost-of-Service'!G135)</f>
        <v>13.197206498698709</v>
      </c>
      <c r="E27" s="302">
        <f ca="1">IF(B5="Power",'Cost-of-Service'!J134,'Cost-of-Service'!J135)</f>
        <v>6.2600788999606065</v>
      </c>
      <c r="F27" s="13" t="str">
        <f>F14</f>
        <v>USD cents per kWh</v>
      </c>
    </row>
    <row r="28" spans="2:6" ht="14.7" thickBot="1" x14ac:dyDescent="0.55000000000000004">
      <c r="B28" s="135" t="s">
        <v>159</v>
      </c>
      <c r="C28" s="303">
        <f ca="1">IF(B5="Power",'Cost-of-Service'!E134,'Cost-of-Service'!E135)</f>
        <v>20.557384479340168</v>
      </c>
      <c r="D28" s="303">
        <f ca="1">IF(B5="Power",'Cost-of-Service'!H134,'Cost-of-Service'!H135)</f>
        <v>4.9443925811472544</v>
      </c>
      <c r="E28" s="303">
        <f ca="1">IF(B5="Power",'Cost-of-Service'!K134,'Cost-of-Service'!K135)</f>
        <v>2.6718580442020419</v>
      </c>
      <c r="F28" s="135" t="str">
        <f>F14</f>
        <v>USD cents per kWh</v>
      </c>
    </row>
    <row r="35" s="13" customFormat="1" x14ac:dyDescent="0.5"/>
    <row r="36" s="13" customFormat="1" x14ac:dyDescent="0.5"/>
    <row r="37" s="13" customFormat="1" x14ac:dyDescent="0.5"/>
    <row r="38" s="13" customFormat="1" x14ac:dyDescent="0.5"/>
    <row r="39" s="13" customFormat="1" x14ac:dyDescent="0.5"/>
    <row r="40" s="13" customFormat="1" x14ac:dyDescent="0.5"/>
    <row r="41" s="13" customFormat="1" x14ac:dyDescent="0.5"/>
    <row r="42" s="13" customFormat="1" x14ac:dyDescent="0.5"/>
    <row r="43" s="13" customFormat="1" x14ac:dyDescent="0.5"/>
    <row r="44" s="13" customFormat="1" x14ac:dyDescent="0.5"/>
    <row r="45" s="13" customFormat="1" x14ac:dyDescent="0.5"/>
    <row r="46" s="13" customFormat="1" x14ac:dyDescent="0.5"/>
    <row r="47" s="13" customFormat="1" x14ac:dyDescent="0.5"/>
    <row r="48" s="13" customFormat="1" x14ac:dyDescent="0.5"/>
    <row r="49" s="13" customFormat="1" x14ac:dyDescent="0.5"/>
    <row r="50" s="13" customFormat="1" x14ac:dyDescent="0.5"/>
    <row r="51" s="13" customFormat="1" x14ac:dyDescent="0.5"/>
    <row r="52" s="13" customFormat="1" x14ac:dyDescent="0.5"/>
    <row r="53" s="13" customFormat="1" x14ac:dyDescent="0.5"/>
    <row r="54" s="13" customFormat="1" x14ac:dyDescent="0.5"/>
    <row r="55" s="13" customFormat="1" x14ac:dyDescent="0.5"/>
    <row r="56" s="13" customFormat="1" x14ac:dyDescent="0.5"/>
    <row r="57" s="13" customFormat="1" x14ac:dyDescent="0.5"/>
    <row r="58" s="13" customFormat="1" x14ac:dyDescent="0.5"/>
    <row r="59" s="13" customFormat="1" x14ac:dyDescent="0.5"/>
    <row r="60" s="13" customFormat="1" x14ac:dyDescent="0.5"/>
    <row r="61" s="13" customFormat="1" x14ac:dyDescent="0.5"/>
  </sheetData>
  <sheetProtection algorithmName="SHA-512" hashValue="xgCf8Im+p5OTbUDsihEpw1BmqYSDDRuhq+LE6bgHQ8WT4ZtjIiW2qwIqnKk7H9/GgwYGVZCRLFFI4VzmfpcYVg==" saltValue="rfUOCZyiAd11KlCiYGnV/A==" spinCount="100000" sheet="1" objects="1" scenarios="1"/>
  <mergeCells count="2">
    <mergeCell ref="C4:E4"/>
    <mergeCell ref="C24:E24"/>
  </mergeCells>
  <conditionalFormatting sqref="F16">
    <cfRule type="containsText" dxfId="1" priority="1" operator="containsText" text="ERROR">
      <formula>NOT(ISERROR(SEARCH("ERROR",F16)))</formula>
    </cfRule>
    <cfRule type="containsText" dxfId="0" priority="2" operator="containsText" text="OK">
      <formula>NOT(ISERROR(SEARCH("OK",F16)))</formula>
    </cfRule>
  </conditionalFormatting>
  <dataValidations count="1">
    <dataValidation type="list" allowBlank="1" showInputMessage="1" showErrorMessage="1" sqref="B5" xr:uid="{00000000-0002-0000-0100-000000000000}">
      <formula1>"Power, Electricity"</formula1>
    </dataValidation>
  </dataValidations>
  <pageMargins left="0.7" right="0.7" top="0.78740157499999996" bottom="0.78740157499999996" header="0.3" footer="0.3"/>
  <pageSetup scale="45" orientation="portrait" horizontalDpi="1200" verticalDpi="12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abelle38">
    <tabColor theme="3" tint="0.59999389629810485"/>
  </sheetPr>
  <dimension ref="A2:S67"/>
  <sheetViews>
    <sheetView workbookViewId="0">
      <selection activeCell="M68" sqref="M68"/>
    </sheetView>
  </sheetViews>
  <sheetFormatPr defaultColWidth="9.17578125" defaultRowHeight="14.35" x14ac:dyDescent="0.5"/>
  <cols>
    <col min="2" max="2" width="26.52734375" customWidth="1"/>
    <col min="3" max="7" width="10.64453125" customWidth="1"/>
    <col min="8" max="8" width="13.8203125" customWidth="1"/>
    <col min="9" max="9" width="20.29296875" customWidth="1"/>
    <col min="10" max="12" width="12.64453125" customWidth="1"/>
  </cols>
  <sheetData>
    <row r="2" spans="2:16" ht="18.350000000000001" thickBot="1" x14ac:dyDescent="0.65">
      <c r="B2" s="1" t="s">
        <v>577</v>
      </c>
      <c r="C2" s="9"/>
      <c r="K2" s="1" t="s">
        <v>286</v>
      </c>
    </row>
    <row r="3" spans="2:16" x14ac:dyDescent="0.5">
      <c r="B3" s="4"/>
      <c r="C3" s="4">
        <v>2016</v>
      </c>
      <c r="D3" s="29">
        <v>2020</v>
      </c>
      <c r="E3" s="29">
        <v>2025</v>
      </c>
      <c r="F3" s="29">
        <v>2030</v>
      </c>
      <c r="G3" s="4" t="s">
        <v>59</v>
      </c>
      <c r="H3" s="3"/>
      <c r="I3" s="4" t="s">
        <v>287</v>
      </c>
      <c r="J3" s="4" t="s">
        <v>288</v>
      </c>
      <c r="K3" s="4" t="s">
        <v>289</v>
      </c>
      <c r="L3" s="4" t="s">
        <v>290</v>
      </c>
      <c r="O3" s="3"/>
      <c r="P3" s="3"/>
    </row>
    <row r="4" spans="2:16" x14ac:dyDescent="0.5">
      <c r="B4" s="3" t="s">
        <v>267</v>
      </c>
      <c r="C4" s="32">
        <f>'Overview 2016 (in)'!F79</f>
        <v>900</v>
      </c>
      <c r="D4" s="32">
        <v>653</v>
      </c>
      <c r="E4" s="32">
        <v>547</v>
      </c>
      <c r="F4" s="32">
        <v>484</v>
      </c>
      <c r="G4" t="s">
        <v>268</v>
      </c>
      <c r="I4" s="35" t="s">
        <v>350</v>
      </c>
      <c r="J4">
        <v>5</v>
      </c>
      <c r="K4">
        <v>5</v>
      </c>
      <c r="L4">
        <v>5</v>
      </c>
    </row>
    <row r="5" spans="2:16" x14ac:dyDescent="0.5">
      <c r="B5" s="3" t="s">
        <v>269</v>
      </c>
      <c r="C5" s="32">
        <f>'Overview 2016 (in)'!F80</f>
        <v>0</v>
      </c>
      <c r="D5" s="32">
        <v>0</v>
      </c>
      <c r="E5" s="32">
        <v>0</v>
      </c>
      <c r="F5" s="32">
        <v>0</v>
      </c>
      <c r="G5" t="s">
        <v>61</v>
      </c>
      <c r="I5" s="35" t="s">
        <v>350</v>
      </c>
      <c r="J5">
        <v>1</v>
      </c>
      <c r="K5">
        <v>1</v>
      </c>
      <c r="L5">
        <v>1</v>
      </c>
    </row>
    <row r="6" spans="2:16" x14ac:dyDescent="0.5">
      <c r="B6" s="3" t="s">
        <v>259</v>
      </c>
      <c r="C6">
        <f>'Overview 2016 (in)'!F72</f>
        <v>10000</v>
      </c>
      <c r="D6">
        <v>4500</v>
      </c>
      <c r="E6">
        <v>4500</v>
      </c>
      <c r="F6">
        <v>5000</v>
      </c>
      <c r="G6" t="s">
        <v>105</v>
      </c>
      <c r="I6" s="35" t="s">
        <v>350</v>
      </c>
      <c r="J6" t="s">
        <v>291</v>
      </c>
      <c r="K6" t="s">
        <v>291</v>
      </c>
      <c r="L6" t="s">
        <v>291</v>
      </c>
    </row>
    <row r="7" spans="2:16" x14ac:dyDescent="0.5">
      <c r="B7" s="3" t="s">
        <v>260</v>
      </c>
      <c r="C7" s="32">
        <f>'Overview 2016 (in)'!F73</f>
        <v>10</v>
      </c>
      <c r="D7">
        <v>12</v>
      </c>
      <c r="E7">
        <v>16</v>
      </c>
      <c r="F7">
        <v>19</v>
      </c>
      <c r="G7" t="s">
        <v>64</v>
      </c>
      <c r="I7" s="35" t="s">
        <v>350</v>
      </c>
      <c r="J7" t="s">
        <v>291</v>
      </c>
      <c r="K7" t="s">
        <v>291</v>
      </c>
      <c r="L7" t="s">
        <v>291</v>
      </c>
    </row>
    <row r="8" spans="2:16" x14ac:dyDescent="0.5">
      <c r="B8" s="3" t="s">
        <v>65</v>
      </c>
      <c r="C8" s="32">
        <f>'Overview 2016 (in)'!F75</f>
        <v>70</v>
      </c>
      <c r="D8">
        <v>70</v>
      </c>
      <c r="E8">
        <v>71</v>
      </c>
      <c r="F8">
        <v>72</v>
      </c>
      <c r="G8" t="s">
        <v>66</v>
      </c>
      <c r="I8" s="35" t="s">
        <v>350</v>
      </c>
      <c r="J8" t="s">
        <v>291</v>
      </c>
      <c r="K8" t="s">
        <v>291</v>
      </c>
      <c r="L8" t="s">
        <v>291</v>
      </c>
    </row>
    <row r="9" spans="2:16" x14ac:dyDescent="0.5">
      <c r="B9" s="3" t="s">
        <v>81</v>
      </c>
      <c r="C9" s="32">
        <f>'Overview 2016 (in)'!F58</f>
        <v>100</v>
      </c>
      <c r="D9">
        <v>80</v>
      </c>
      <c r="E9" s="32">
        <v>80</v>
      </c>
      <c r="F9">
        <v>80</v>
      </c>
      <c r="G9" t="s">
        <v>66</v>
      </c>
      <c r="I9" s="35" t="s">
        <v>350</v>
      </c>
      <c r="J9">
        <v>5</v>
      </c>
      <c r="K9">
        <v>5</v>
      </c>
      <c r="L9">
        <v>5</v>
      </c>
    </row>
    <row r="10" spans="2:16" x14ac:dyDescent="0.5">
      <c r="B10" s="3" t="s">
        <v>564</v>
      </c>
      <c r="C10" s="92">
        <v>5</v>
      </c>
      <c r="D10" s="92">
        <v>5</v>
      </c>
      <c r="E10" s="92">
        <v>5</v>
      </c>
      <c r="F10" s="92">
        <v>5</v>
      </c>
      <c r="G10" t="s">
        <v>74</v>
      </c>
      <c r="I10" s="35">
        <v>5</v>
      </c>
      <c r="J10">
        <v>5</v>
      </c>
      <c r="K10">
        <v>5</v>
      </c>
      <c r="L10">
        <v>5</v>
      </c>
    </row>
    <row r="11" spans="2:16" ht="14.7" thickBot="1" x14ac:dyDescent="0.55000000000000004">
      <c r="B11" s="5" t="s">
        <v>565</v>
      </c>
      <c r="C11" s="93">
        <v>10</v>
      </c>
      <c r="D11" s="93">
        <v>10</v>
      </c>
      <c r="E11" s="93">
        <v>10</v>
      </c>
      <c r="F11" s="93">
        <v>10</v>
      </c>
      <c r="G11" s="6" t="s">
        <v>74</v>
      </c>
      <c r="I11" s="36">
        <v>5</v>
      </c>
      <c r="J11" s="6">
        <v>5</v>
      </c>
      <c r="K11" s="6">
        <v>5</v>
      </c>
      <c r="L11" s="6">
        <v>5</v>
      </c>
    </row>
    <row r="12" spans="2:16" x14ac:dyDescent="0.5">
      <c r="B12" s="3"/>
      <c r="C12" s="92"/>
      <c r="D12" s="92"/>
      <c r="E12" s="92"/>
      <c r="F12" s="92"/>
      <c r="I12" s="35"/>
    </row>
    <row r="13" spans="2:16" x14ac:dyDescent="0.5">
      <c r="K13" s="2" t="s">
        <v>294</v>
      </c>
    </row>
    <row r="14" spans="2:16" ht="18.350000000000001" thickBot="1" x14ac:dyDescent="0.65">
      <c r="B14" s="1" t="s">
        <v>295</v>
      </c>
      <c r="K14" s="11" t="s">
        <v>296</v>
      </c>
    </row>
    <row r="15" spans="2:16" x14ac:dyDescent="0.5">
      <c r="B15" s="7" t="s">
        <v>297</v>
      </c>
      <c r="C15" s="7" t="s">
        <v>298</v>
      </c>
      <c r="D15" s="7" t="s">
        <v>299</v>
      </c>
      <c r="E15" s="7" t="s">
        <v>300</v>
      </c>
      <c r="F15" s="46" t="s">
        <v>553</v>
      </c>
      <c r="G15" s="7"/>
      <c r="H15" s="46" t="s">
        <v>84</v>
      </c>
      <c r="K15" s="40" t="s">
        <v>302</v>
      </c>
      <c r="L15" s="40"/>
    </row>
    <row r="16" spans="2:16" x14ac:dyDescent="0.5">
      <c r="B16">
        <v>1</v>
      </c>
      <c r="C16" t="s">
        <v>303</v>
      </c>
      <c r="D16" t="s">
        <v>304</v>
      </c>
      <c r="E16" s="164" t="s">
        <v>305</v>
      </c>
      <c r="F16" s="45" t="s">
        <v>306</v>
      </c>
      <c r="H16" s="22" t="s">
        <v>566</v>
      </c>
    </row>
    <row r="17" spans="1:19" x14ac:dyDescent="0.5">
      <c r="B17">
        <v>2</v>
      </c>
      <c r="C17" t="s">
        <v>307</v>
      </c>
      <c r="D17" t="s">
        <v>308</v>
      </c>
      <c r="E17" s="164" t="s">
        <v>309</v>
      </c>
      <c r="F17" s="45" t="s">
        <v>310</v>
      </c>
      <c r="H17" s="22" t="s">
        <v>567</v>
      </c>
    </row>
    <row r="18" spans="1:19" x14ac:dyDescent="0.5">
      <c r="B18">
        <v>3</v>
      </c>
      <c r="C18" t="s">
        <v>311</v>
      </c>
      <c r="D18" t="s">
        <v>312</v>
      </c>
      <c r="E18" s="164" t="s">
        <v>356</v>
      </c>
      <c r="F18" s="80" t="s">
        <v>314</v>
      </c>
      <c r="H18" s="22" t="s">
        <v>567</v>
      </c>
      <c r="N18" s="53"/>
    </row>
    <row r="19" spans="1:19" x14ac:dyDescent="0.5">
      <c r="B19">
        <v>4</v>
      </c>
      <c r="C19" t="s">
        <v>358</v>
      </c>
      <c r="D19" t="s">
        <v>359</v>
      </c>
      <c r="E19" s="164" t="s">
        <v>360</v>
      </c>
      <c r="F19" s="80" t="s">
        <v>361</v>
      </c>
      <c r="H19" s="22" t="s">
        <v>566</v>
      </c>
      <c r="N19" s="53"/>
    </row>
    <row r="20" spans="1:19" x14ac:dyDescent="0.5">
      <c r="B20">
        <v>5</v>
      </c>
      <c r="C20" t="s">
        <v>315</v>
      </c>
      <c r="D20" t="s">
        <v>316</v>
      </c>
      <c r="E20" s="207" t="s">
        <v>317</v>
      </c>
      <c r="F20" s="45" t="s">
        <v>318</v>
      </c>
      <c r="H20" s="99" t="s">
        <v>568</v>
      </c>
    </row>
    <row r="21" spans="1:19" x14ac:dyDescent="0.5">
      <c r="B21">
        <v>5</v>
      </c>
      <c r="C21" t="s">
        <v>506</v>
      </c>
      <c r="D21" t="s">
        <v>336</v>
      </c>
      <c r="E21" s="164" t="s">
        <v>507</v>
      </c>
      <c r="F21" s="80" t="s">
        <v>508</v>
      </c>
      <c r="H21" s="99" t="s">
        <v>568</v>
      </c>
    </row>
    <row r="22" spans="1:19" x14ac:dyDescent="0.5">
      <c r="E22" s="164"/>
      <c r="F22" s="185"/>
      <c r="H22" s="98"/>
    </row>
    <row r="23" spans="1:19" x14ac:dyDescent="0.5">
      <c r="A23" s="68" t="s">
        <v>319</v>
      </c>
    </row>
    <row r="24" spans="1:19" ht="14.7" thickBot="1" x14ac:dyDescent="0.55000000000000004">
      <c r="A24" s="68" t="s">
        <v>320</v>
      </c>
      <c r="N24" s="53"/>
    </row>
    <row r="25" spans="1:19" x14ac:dyDescent="0.5">
      <c r="A25" s="3" t="s">
        <v>321</v>
      </c>
      <c r="B25" s="4"/>
      <c r="C25" s="4">
        <v>2016</v>
      </c>
      <c r="D25" s="29">
        <v>2020</v>
      </c>
      <c r="E25" s="4">
        <v>2023</v>
      </c>
      <c r="F25" s="29">
        <v>2025</v>
      </c>
      <c r="G25" s="29">
        <v>2030</v>
      </c>
      <c r="H25" s="4">
        <v>2033</v>
      </c>
      <c r="I25" s="4" t="s">
        <v>59</v>
      </c>
      <c r="J25" s="16" t="s">
        <v>322</v>
      </c>
      <c r="K25" s="4" t="s">
        <v>323</v>
      </c>
      <c r="N25" s="53"/>
      <c r="O25" s="3"/>
      <c r="P25" s="3"/>
      <c r="Q25" s="3"/>
      <c r="R25" s="3"/>
      <c r="S25" s="3"/>
    </row>
    <row r="26" spans="1:19" x14ac:dyDescent="0.5">
      <c r="B26" s="3" t="s">
        <v>267</v>
      </c>
      <c r="C26" s="32">
        <f>C4</f>
        <v>900</v>
      </c>
      <c r="D26" s="54">
        <f>$C26*(1-$J26)^(D$25-$C$25)</f>
        <v>530.36756973745537</v>
      </c>
      <c r="E26" s="39"/>
      <c r="F26" s="54">
        <f>$C26*(1-$J26)^(F$25-$C$25)</f>
        <v>273.83882606764899</v>
      </c>
      <c r="G26" s="58">
        <f>110*Financials!D5</f>
        <v>141.38817480719794</v>
      </c>
      <c r="H26" s="39"/>
      <c r="I26" t="s">
        <v>268</v>
      </c>
      <c r="J26" s="168">
        <f>1-(G26/C26)^(1/(G$25-C$25))</f>
        <v>0.12383961537935873</v>
      </c>
      <c r="K26" s="44"/>
      <c r="N26" s="53"/>
      <c r="O26" s="12"/>
      <c r="P26" s="12"/>
      <c r="Q26" s="12"/>
      <c r="R26" s="12"/>
    </row>
    <row r="27" spans="1:19" x14ac:dyDescent="0.5">
      <c r="B27" s="3" t="s">
        <v>269</v>
      </c>
      <c r="C27" s="32">
        <f>C5</f>
        <v>0</v>
      </c>
      <c r="D27" s="54">
        <f>$C27*(1-$J27)^(D$25-$C$25)</f>
        <v>0</v>
      </c>
      <c r="E27" s="39"/>
      <c r="F27" s="54">
        <f>$C27*(1-$J27)^(F$25-$C$25)</f>
        <v>0</v>
      </c>
      <c r="G27" s="58">
        <f>800*Financials!D5</f>
        <v>1028.2776349614396</v>
      </c>
      <c r="H27" s="39"/>
      <c r="I27" t="s">
        <v>61</v>
      </c>
      <c r="J27" s="168">
        <v>0</v>
      </c>
      <c r="K27" s="44"/>
      <c r="N27" s="53"/>
      <c r="O27" s="12"/>
      <c r="P27" s="12"/>
      <c r="Q27" s="12"/>
      <c r="R27" s="12"/>
    </row>
    <row r="28" spans="1:19" x14ac:dyDescent="0.5">
      <c r="B28" s="3" t="s">
        <v>259</v>
      </c>
      <c r="C28">
        <f>C6</f>
        <v>10000</v>
      </c>
      <c r="D28" s="63"/>
      <c r="E28" s="39"/>
      <c r="F28" s="63"/>
      <c r="G28" s="63"/>
      <c r="H28" s="40"/>
      <c r="I28" t="s">
        <v>105</v>
      </c>
      <c r="J28" s="168">
        <f>1-(G28/C28)^(1/(G$25-C$25))</f>
        <v>1</v>
      </c>
      <c r="K28" s="44"/>
      <c r="N28" s="53"/>
      <c r="O28" s="32"/>
      <c r="P28" s="32"/>
      <c r="Q28" s="32"/>
    </row>
    <row r="29" spans="1:19" x14ac:dyDescent="0.5">
      <c r="B29" s="3" t="s">
        <v>260</v>
      </c>
      <c r="C29">
        <f>C7</f>
        <v>10</v>
      </c>
      <c r="D29" s="54">
        <f>$C29*(1-$J29)^(D$25-$C$25)</f>
        <v>12.190136542044758</v>
      </c>
      <c r="E29" s="39"/>
      <c r="F29" s="54">
        <f>$C29*(1-$J29)^(F$25-$C$25)</f>
        <v>15.614183643114213</v>
      </c>
      <c r="G29" s="58">
        <v>20</v>
      </c>
      <c r="H29" s="40"/>
      <c r="I29" t="s">
        <v>64</v>
      </c>
      <c r="J29" s="168">
        <f>1-(G29/C29)^(1/(G$25-C$25))</f>
        <v>-5.0756638653219444E-2</v>
      </c>
      <c r="K29" s="44"/>
      <c r="N29" s="53"/>
      <c r="O29" s="32"/>
      <c r="P29" s="32"/>
      <c r="Q29" s="32"/>
    </row>
    <row r="30" spans="1:19" ht="14.7" thickBot="1" x14ac:dyDescent="0.55000000000000004">
      <c r="B30" s="5" t="s">
        <v>65</v>
      </c>
      <c r="C30" s="6">
        <f>C9</f>
        <v>100</v>
      </c>
      <c r="D30" s="55">
        <f>$C30*(1-$J30)^(D$25-$C$25)</f>
        <v>91.400671962428476</v>
      </c>
      <c r="E30" s="41"/>
      <c r="F30" s="55">
        <f>$C30*(1-$J30)^(F$25-$C$25)</f>
        <v>81.683835936232057</v>
      </c>
      <c r="G30" s="59">
        <v>73</v>
      </c>
      <c r="H30" s="42"/>
      <c r="I30" s="6" t="s">
        <v>66</v>
      </c>
      <c r="J30" s="169">
        <f>1-(G30/C30)^(1/(G$25-C$25))</f>
        <v>2.2228561198624597E-2</v>
      </c>
      <c r="K30" s="166"/>
      <c r="N30" s="53"/>
      <c r="O30" s="32"/>
      <c r="P30" s="32"/>
      <c r="Q30" s="32"/>
    </row>
    <row r="31" spans="1:19" ht="14.7" thickBot="1" x14ac:dyDescent="0.55000000000000004">
      <c r="J31" s="168"/>
      <c r="K31" s="44"/>
      <c r="N31" s="53"/>
    </row>
    <row r="32" spans="1:19" x14ac:dyDescent="0.5">
      <c r="A32" s="3" t="s">
        <v>325</v>
      </c>
      <c r="B32" s="4"/>
      <c r="C32" s="4">
        <v>2016</v>
      </c>
      <c r="D32" s="29">
        <v>2020</v>
      </c>
      <c r="E32" s="4">
        <v>2023</v>
      </c>
      <c r="F32" s="29">
        <v>2025</v>
      </c>
      <c r="G32" s="29">
        <v>2030</v>
      </c>
      <c r="H32" s="4">
        <v>2033</v>
      </c>
      <c r="I32" s="4" t="s">
        <v>59</v>
      </c>
      <c r="J32" s="170"/>
      <c r="K32" s="167"/>
      <c r="N32" s="53"/>
      <c r="O32" s="3"/>
      <c r="P32" s="3"/>
      <c r="Q32" s="3"/>
      <c r="R32" s="3"/>
      <c r="S32" s="3"/>
    </row>
    <row r="33" spans="1:18" x14ac:dyDescent="0.5">
      <c r="B33" s="3" t="s">
        <v>267</v>
      </c>
      <c r="C33" s="32">
        <f>C4</f>
        <v>900</v>
      </c>
      <c r="D33" s="54">
        <f>$C33*(1-$J33)^(D$25-$C$25)</f>
        <v>756.44155245174386</v>
      </c>
      <c r="E33" s="32">
        <f>500*Financials!D7</f>
        <v>664.01062416998673</v>
      </c>
      <c r="F33" s="54">
        <f>$E33*(1-$K33)^(F$25-$E$25)</f>
        <v>609.19692072410226</v>
      </c>
      <c r="G33" s="54">
        <f>$E33*(1-$K33)^(G$25-$E$25)</f>
        <v>491.15025943475092</v>
      </c>
      <c r="H33" s="32">
        <f>325*Financials!D7</f>
        <v>431.60690571049133</v>
      </c>
      <c r="I33" t="s">
        <v>268</v>
      </c>
      <c r="J33" s="168">
        <f>1-(E33/C33)^(1/(E$25-C$25))</f>
        <v>4.2512270725488244E-2</v>
      </c>
      <c r="K33" s="44">
        <f>1-(H33/E33)^(1/(H$25-E$25))</f>
        <v>4.2163603421493501E-2</v>
      </c>
      <c r="N33" s="53"/>
      <c r="O33" s="12"/>
      <c r="P33" s="12"/>
      <c r="Q33" s="12"/>
      <c r="R33" s="12"/>
    </row>
    <row r="34" spans="1:18" x14ac:dyDescent="0.5">
      <c r="B34" s="3" t="s">
        <v>269</v>
      </c>
      <c r="C34" s="32">
        <f>C5</f>
        <v>0</v>
      </c>
      <c r="D34" s="63"/>
      <c r="E34" s="39"/>
      <c r="F34" s="63"/>
      <c r="G34" s="63"/>
      <c r="H34" s="39"/>
      <c r="I34" t="s">
        <v>61</v>
      </c>
      <c r="J34" s="168"/>
      <c r="K34" s="44"/>
      <c r="N34" s="53"/>
      <c r="O34" s="12"/>
      <c r="P34" s="12"/>
      <c r="Q34" s="12"/>
      <c r="R34" s="12"/>
    </row>
    <row r="35" spans="1:18" x14ac:dyDescent="0.5">
      <c r="B35" s="3" t="s">
        <v>259</v>
      </c>
      <c r="C35">
        <f>C6</f>
        <v>10000</v>
      </c>
      <c r="D35" s="63"/>
      <c r="E35" s="39"/>
      <c r="F35" s="63"/>
      <c r="G35" s="63"/>
      <c r="H35" s="40"/>
      <c r="I35" t="s">
        <v>105</v>
      </c>
      <c r="J35" s="168"/>
      <c r="K35" s="44"/>
      <c r="N35" s="53"/>
      <c r="O35" s="32"/>
      <c r="P35" s="32"/>
      <c r="Q35" s="32"/>
    </row>
    <row r="36" spans="1:18" x14ac:dyDescent="0.5">
      <c r="B36" s="3" t="s">
        <v>260</v>
      </c>
      <c r="C36">
        <f>C7</f>
        <v>10</v>
      </c>
      <c r="D36" s="63"/>
      <c r="E36" s="39"/>
      <c r="F36" s="63"/>
      <c r="G36" s="63"/>
      <c r="H36" s="40"/>
      <c r="I36" t="s">
        <v>64</v>
      </c>
      <c r="J36" s="168"/>
      <c r="K36" s="44"/>
      <c r="N36" s="53"/>
      <c r="O36" s="32"/>
      <c r="P36" s="32"/>
      <c r="Q36" s="32"/>
    </row>
    <row r="37" spans="1:18" ht="14.7" thickBot="1" x14ac:dyDescent="0.55000000000000004">
      <c r="B37" s="5" t="s">
        <v>65</v>
      </c>
      <c r="C37" s="6">
        <f>C9</f>
        <v>100</v>
      </c>
      <c r="D37" s="55">
        <f>$C37*(1-$J37)^(D$25-$C$25)</f>
        <v>78.179582463995729</v>
      </c>
      <c r="E37" s="33">
        <v>65</v>
      </c>
      <c r="F37" s="55">
        <f>$E37*(1-$K37)^(F$25-$E$25)</f>
        <v>65</v>
      </c>
      <c r="G37" s="55">
        <f>$E37*(1-$K37)^(G$25-$E$25)</f>
        <v>65</v>
      </c>
      <c r="H37" s="6">
        <v>65</v>
      </c>
      <c r="I37" s="6" t="s">
        <v>66</v>
      </c>
      <c r="J37" s="169">
        <f>1-(E37/C37)^(1/(E$25-C$25))</f>
        <v>5.9685059346967773E-2</v>
      </c>
      <c r="K37" s="166">
        <f>1-(H37/E37)^(1/(H$25-E$25))</f>
        <v>0</v>
      </c>
      <c r="N37" s="53"/>
      <c r="O37" s="32"/>
      <c r="P37" s="32"/>
      <c r="Q37" s="32"/>
    </row>
    <row r="38" spans="1:18" ht="14.7" thickBot="1" x14ac:dyDescent="0.55000000000000004">
      <c r="J38" s="168"/>
      <c r="K38" s="44"/>
      <c r="N38" s="53"/>
    </row>
    <row r="39" spans="1:18" x14ac:dyDescent="0.5">
      <c r="A39" s="3" t="s">
        <v>326</v>
      </c>
      <c r="B39" s="4"/>
      <c r="C39" s="4">
        <v>2016</v>
      </c>
      <c r="D39" s="29">
        <v>2020</v>
      </c>
      <c r="E39" s="4">
        <v>2023</v>
      </c>
      <c r="F39" s="29">
        <v>2025</v>
      </c>
      <c r="G39" s="29">
        <v>2030</v>
      </c>
      <c r="H39" s="4">
        <v>2050</v>
      </c>
      <c r="I39" s="4" t="s">
        <v>59</v>
      </c>
      <c r="J39" s="170"/>
      <c r="K39" s="167"/>
      <c r="N39" s="53"/>
    </row>
    <row r="40" spans="1:18" x14ac:dyDescent="0.5">
      <c r="B40" s="3" t="s">
        <v>267</v>
      </c>
      <c r="C40" s="32">
        <f>C4</f>
        <v>900</v>
      </c>
      <c r="D40" s="54">
        <f>$C40*(1-$J40)^(D$25-$C$25)</f>
        <v>348.32714574459277</v>
      </c>
      <c r="E40" s="32">
        <f>154*Financials!D8</f>
        <v>170.9211986681465</v>
      </c>
      <c r="F40" s="54">
        <f>$E40*(1-$K40)^(F$39-$E$39)</f>
        <v>166.60109030250538</v>
      </c>
      <c r="G40" s="54">
        <f>$E40*(1-$K40)^(G$39-$E$39)</f>
        <v>156.27251903186465</v>
      </c>
      <c r="H40" s="32">
        <f>109*Financials!D8</f>
        <v>120.97669256381798</v>
      </c>
      <c r="I40" t="s">
        <v>268</v>
      </c>
      <c r="J40" s="168">
        <f>1-(E40/C40)^(1/(E$39-C$39))</f>
        <v>0.21125575601168944</v>
      </c>
      <c r="K40" s="44">
        <f>1-(H40/E40)^(1/(H$39-E$39))</f>
        <v>1.2718601007885355E-2</v>
      </c>
    </row>
    <row r="41" spans="1:18" x14ac:dyDescent="0.5">
      <c r="B41" s="3" t="s">
        <v>269</v>
      </c>
      <c r="C41" s="32">
        <f>C5</f>
        <v>0</v>
      </c>
      <c r="D41" s="63"/>
      <c r="E41" s="39"/>
      <c r="F41" s="63"/>
      <c r="G41" s="63"/>
      <c r="H41" s="39"/>
      <c r="I41" t="s">
        <v>61</v>
      </c>
      <c r="J41" s="168"/>
      <c r="K41" s="44"/>
    </row>
    <row r="42" spans="1:18" x14ac:dyDescent="0.5">
      <c r="B42" s="3" t="s">
        <v>259</v>
      </c>
      <c r="C42">
        <f>C6</f>
        <v>10000</v>
      </c>
      <c r="D42" s="54">
        <f>$C42*(1-$J42)^(D$25-$C$25)</f>
        <v>11617.441306860876</v>
      </c>
      <c r="E42" s="32">
        <v>13000</v>
      </c>
      <c r="F42" s="54">
        <f t="shared" ref="F42:G44" si="0">$E42*(1-$K42)^(F$39-$E$39)</f>
        <v>13000</v>
      </c>
      <c r="G42" s="54">
        <f t="shared" si="0"/>
        <v>13000</v>
      </c>
      <c r="H42">
        <v>13000</v>
      </c>
      <c r="I42" t="s">
        <v>105</v>
      </c>
      <c r="J42" s="168">
        <f>1-(E42/C42)^(1/(E$39-C$39))</f>
        <v>-3.8191865525825985E-2</v>
      </c>
      <c r="K42" s="44">
        <f>1-(H42/E42)^(1/(H$39-E$39))</f>
        <v>0</v>
      </c>
    </row>
    <row r="43" spans="1:18" x14ac:dyDescent="0.5">
      <c r="B43" s="3" t="s">
        <v>260</v>
      </c>
      <c r="C43" s="32">
        <f>C7</f>
        <v>10</v>
      </c>
      <c r="D43" s="54">
        <f>$C43*(1-$J43)^(D$25-$C$25)</f>
        <v>13.542071358330894</v>
      </c>
      <c r="E43" s="32">
        <v>17</v>
      </c>
      <c r="F43" s="54">
        <f t="shared" si="0"/>
        <v>17.327793907858741</v>
      </c>
      <c r="G43" s="54">
        <f t="shared" si="0"/>
        <v>18.175198190909164</v>
      </c>
      <c r="H43" s="32">
        <v>22</v>
      </c>
      <c r="I43" t="s">
        <v>64</v>
      </c>
      <c r="J43" s="168">
        <f>1-(E43/C43)^(1/(E$39-C$39))</f>
        <v>-7.8751156906622821E-2</v>
      </c>
      <c r="K43" s="44">
        <f>1-(H43/E43)^(1/(H$39-E$39))</f>
        <v>-9.5949656074587608E-3</v>
      </c>
    </row>
    <row r="44" spans="1:18" ht="14.7" thickBot="1" x14ac:dyDescent="0.55000000000000004">
      <c r="B44" s="5" t="s">
        <v>65</v>
      </c>
      <c r="C44" s="33">
        <f>C9</f>
        <v>100</v>
      </c>
      <c r="D44" s="55">
        <f>$C44*(1-$J44)^(D$25-$C$25)</f>
        <v>81.561385439071827</v>
      </c>
      <c r="E44" s="33">
        <v>70</v>
      </c>
      <c r="F44" s="55">
        <f t="shared" si="0"/>
        <v>70.288733816641852</v>
      </c>
      <c r="G44" s="55">
        <f t="shared" si="0"/>
        <v>71.015789560792285</v>
      </c>
      <c r="H44" s="33">
        <v>74</v>
      </c>
      <c r="I44" s="6" t="s">
        <v>66</v>
      </c>
      <c r="J44" s="169">
        <f>1-(E44/C44)^(1/(E$39-C$39))</f>
        <v>4.9677200751309103E-2</v>
      </c>
      <c r="K44" s="166">
        <f>1-(H44/E44)^(1/(H$39-E$39))</f>
        <v>-2.0602620646970049E-3</v>
      </c>
    </row>
    <row r="45" spans="1:18" ht="14.7" thickBot="1" x14ac:dyDescent="0.55000000000000004">
      <c r="B45" s="3"/>
      <c r="C45" s="32"/>
      <c r="D45" s="32"/>
      <c r="E45" s="32"/>
      <c r="F45" s="37"/>
      <c r="G45" s="37"/>
      <c r="J45" s="168"/>
      <c r="K45" s="44"/>
    </row>
    <row r="46" spans="1:18" x14ac:dyDescent="0.5">
      <c r="A46" s="3" t="s">
        <v>327</v>
      </c>
      <c r="B46" s="4"/>
      <c r="C46" s="4">
        <v>2016</v>
      </c>
      <c r="D46" s="4">
        <v>2017</v>
      </c>
      <c r="E46" s="29">
        <v>2020</v>
      </c>
      <c r="F46" s="29">
        <v>2025</v>
      </c>
      <c r="G46" s="29">
        <v>2030</v>
      </c>
      <c r="H46" s="4">
        <v>2050</v>
      </c>
      <c r="I46" s="4" t="s">
        <v>59</v>
      </c>
      <c r="J46" s="170"/>
      <c r="K46" s="167"/>
    </row>
    <row r="47" spans="1:18" x14ac:dyDescent="0.5">
      <c r="B47" s="3" t="s">
        <v>267</v>
      </c>
      <c r="C47" s="92">
        <f>C4</f>
        <v>900</v>
      </c>
      <c r="D47" s="92">
        <v>550</v>
      </c>
      <c r="E47" s="102">
        <v>350</v>
      </c>
      <c r="F47" s="65">
        <f>$E47*(1-$K47)^(F$46-$E$46)</f>
        <v>164.78220213863116</v>
      </c>
      <c r="G47" s="65">
        <f>$E47*(1-$K47)^(G$46-$E$46)</f>
        <v>77.580497547590554</v>
      </c>
      <c r="H47" s="172"/>
      <c r="I47" t="s">
        <v>268</v>
      </c>
      <c r="J47" s="168">
        <f>1-(D47/C47)^(1/(D$46-C$46))</f>
        <v>0.38888888888888884</v>
      </c>
      <c r="K47" s="44">
        <f>1-(E47/D47)^(1/(E$46-D$46))</f>
        <v>0.13986137246278185</v>
      </c>
    </row>
    <row r="48" spans="1:18" x14ac:dyDescent="0.5">
      <c r="B48" s="3" t="s">
        <v>269</v>
      </c>
      <c r="C48" s="92">
        <f>C5</f>
        <v>0</v>
      </c>
      <c r="D48" s="172"/>
      <c r="E48" s="94"/>
      <c r="F48" s="94"/>
      <c r="G48" s="94"/>
      <c r="H48" s="95"/>
      <c r="I48" t="s">
        <v>61</v>
      </c>
      <c r="J48" s="168"/>
      <c r="K48" s="44"/>
    </row>
    <row r="49" spans="1:16" x14ac:dyDescent="0.5">
      <c r="B49" s="3" t="s">
        <v>259</v>
      </c>
      <c r="C49" s="92">
        <f>C6</f>
        <v>10000</v>
      </c>
      <c r="D49" s="95"/>
      <c r="E49" s="63"/>
      <c r="F49" s="63"/>
      <c r="G49" s="63"/>
      <c r="H49" s="40"/>
      <c r="I49" t="s">
        <v>105</v>
      </c>
      <c r="J49" s="168"/>
      <c r="K49" s="44"/>
    </row>
    <row r="50" spans="1:16" x14ac:dyDescent="0.5">
      <c r="B50" s="3" t="s">
        <v>260</v>
      </c>
      <c r="C50" s="92">
        <f>C7</f>
        <v>10</v>
      </c>
      <c r="D50" s="95"/>
      <c r="E50" s="63"/>
      <c r="F50" s="63"/>
      <c r="G50" s="63"/>
      <c r="H50" s="39"/>
      <c r="I50" t="s">
        <v>64</v>
      </c>
      <c r="J50" s="168"/>
      <c r="K50" s="44"/>
    </row>
    <row r="51" spans="1:16" ht="14.7" thickBot="1" x14ac:dyDescent="0.55000000000000004">
      <c r="B51" s="5" t="s">
        <v>65</v>
      </c>
      <c r="C51" s="93">
        <f>C9</f>
        <v>100</v>
      </c>
      <c r="D51" s="173"/>
      <c r="E51" s="67"/>
      <c r="F51" s="67"/>
      <c r="G51" s="67"/>
      <c r="H51" s="41"/>
      <c r="I51" s="6" t="s">
        <v>66</v>
      </c>
      <c r="J51" s="169"/>
      <c r="K51" s="166"/>
    </row>
    <row r="52" spans="1:16" ht="14.7" thickBot="1" x14ac:dyDescent="0.55000000000000004"/>
    <row r="53" spans="1:16" x14ac:dyDescent="0.5">
      <c r="A53" s="3" t="s">
        <v>345</v>
      </c>
      <c r="B53" s="4"/>
      <c r="C53" s="4">
        <v>2016</v>
      </c>
      <c r="D53" s="4">
        <v>2020</v>
      </c>
      <c r="E53" s="29">
        <v>2021</v>
      </c>
      <c r="F53" s="29">
        <v>2025</v>
      </c>
      <c r="G53" s="29">
        <v>2030</v>
      </c>
      <c r="H53" s="4">
        <v>2035</v>
      </c>
      <c r="I53" s="4" t="s">
        <v>59</v>
      </c>
      <c r="J53" s="170"/>
      <c r="K53" s="167"/>
    </row>
    <row r="54" spans="1:16" x14ac:dyDescent="0.5">
      <c r="B54" s="3" t="s">
        <v>267</v>
      </c>
      <c r="C54" s="32">
        <f>C4</f>
        <v>900</v>
      </c>
      <c r="D54" s="39">
        <f>C54*(1-J54)^(D53-C53)</f>
        <v>653.2844961989656</v>
      </c>
      <c r="E54" s="32">
        <v>603</v>
      </c>
      <c r="F54" s="54">
        <f>E54*(1-K54)^(F53-E53)</f>
        <v>546.87155448540977</v>
      </c>
      <c r="G54" s="212">
        <v>484</v>
      </c>
      <c r="H54" s="39"/>
      <c r="I54" t="s">
        <v>268</v>
      </c>
      <c r="J54" s="168">
        <f>1-(E54/C54)^(1/(E53-C53))</f>
        <v>7.6971819309257006E-2</v>
      </c>
      <c r="K54" s="44">
        <f>1-(G54/E54)^(1/(G53-E53))</f>
        <v>2.4129913966658312E-2</v>
      </c>
    </row>
    <row r="55" spans="1:16" x14ac:dyDescent="0.5">
      <c r="B55" s="3" t="s">
        <v>269</v>
      </c>
      <c r="C55" s="32">
        <f>C5</f>
        <v>0</v>
      </c>
      <c r="D55" s="39"/>
      <c r="E55" s="63"/>
      <c r="F55" s="63"/>
      <c r="G55" s="63"/>
      <c r="H55" s="39"/>
      <c r="I55" t="s">
        <v>61</v>
      </c>
      <c r="J55" s="168"/>
      <c r="K55" s="44"/>
      <c r="L55" s="3"/>
      <c r="M55" s="3"/>
      <c r="N55" s="3"/>
      <c r="O55" s="3"/>
      <c r="P55" s="3"/>
    </row>
    <row r="56" spans="1:16" x14ac:dyDescent="0.5">
      <c r="B56" s="3" t="s">
        <v>259</v>
      </c>
      <c r="C56" s="92">
        <f>C6</f>
        <v>10000</v>
      </c>
      <c r="D56" s="95"/>
      <c r="E56" s="206">
        <v>4563</v>
      </c>
      <c r="F56" s="204"/>
      <c r="G56" s="206">
        <v>5019</v>
      </c>
      <c r="H56" s="40"/>
      <c r="I56" t="s">
        <v>105</v>
      </c>
      <c r="J56" s="168"/>
      <c r="K56" s="44"/>
    </row>
    <row r="57" spans="1:16" x14ac:dyDescent="0.5">
      <c r="B57" s="3" t="s">
        <v>260</v>
      </c>
      <c r="C57" s="92">
        <f>C7</f>
        <v>10</v>
      </c>
      <c r="D57" s="95"/>
      <c r="E57" s="242">
        <v>12.5</v>
      </c>
      <c r="F57" s="63"/>
      <c r="G57" s="206">
        <v>15</v>
      </c>
      <c r="H57" s="39"/>
      <c r="I57" t="s">
        <v>64</v>
      </c>
      <c r="J57" s="168"/>
      <c r="K57" s="44"/>
    </row>
    <row r="58" spans="1:16" x14ac:dyDescent="0.5">
      <c r="B58" s="3" t="s">
        <v>65</v>
      </c>
      <c r="C58" s="92">
        <f>C9</f>
        <v>100</v>
      </c>
      <c r="D58" s="95"/>
      <c r="E58" s="243">
        <v>72.5</v>
      </c>
      <c r="F58" s="63"/>
      <c r="G58" s="208">
        <v>75</v>
      </c>
      <c r="H58" s="39"/>
      <c r="I58" t="s">
        <v>66</v>
      </c>
      <c r="J58" s="168"/>
      <c r="K58" s="44"/>
    </row>
    <row r="59" spans="1:16" ht="14.7" thickBot="1" x14ac:dyDescent="0.55000000000000004">
      <c r="B59" s="5" t="s">
        <v>81</v>
      </c>
      <c r="C59" s="93">
        <f>C10</f>
        <v>5</v>
      </c>
      <c r="D59" s="173"/>
      <c r="E59" s="211">
        <v>80</v>
      </c>
      <c r="F59" s="67"/>
      <c r="G59" s="211">
        <v>80</v>
      </c>
      <c r="H59" s="41"/>
      <c r="I59" s="6" t="s">
        <v>66</v>
      </c>
      <c r="J59" s="169"/>
      <c r="K59" s="166"/>
    </row>
    <row r="60" spans="1:16" ht="14.7" thickBot="1" x14ac:dyDescent="0.55000000000000004">
      <c r="B60" s="3"/>
      <c r="D60" s="79"/>
      <c r="F60" s="79"/>
      <c r="G60" s="79"/>
    </row>
    <row r="61" spans="1:16" x14ac:dyDescent="0.5">
      <c r="A61" s="3" t="s">
        <v>345</v>
      </c>
      <c r="B61" s="4"/>
      <c r="C61" s="4">
        <v>2016</v>
      </c>
      <c r="D61" s="4">
        <v>2020</v>
      </c>
      <c r="E61" s="29">
        <v>2023</v>
      </c>
      <c r="F61" s="29">
        <v>2025</v>
      </c>
      <c r="G61" s="29">
        <v>2030</v>
      </c>
      <c r="H61" s="4">
        <v>2035</v>
      </c>
      <c r="I61" s="4" t="s">
        <v>59</v>
      </c>
      <c r="J61" s="170"/>
      <c r="K61" s="167"/>
    </row>
    <row r="62" spans="1:16" x14ac:dyDescent="0.5">
      <c r="B62" s="3" t="s">
        <v>267</v>
      </c>
      <c r="C62" s="32">
        <f>C4</f>
        <v>900</v>
      </c>
      <c r="D62" s="39"/>
      <c r="E62" s="39"/>
      <c r="F62" s="63"/>
      <c r="G62" s="63"/>
      <c r="H62" s="39"/>
      <c r="I62" t="s">
        <v>268</v>
      </c>
      <c r="J62" s="168"/>
      <c r="K62" s="44"/>
    </row>
    <row r="63" spans="1:16" x14ac:dyDescent="0.5">
      <c r="B63" s="3" t="s">
        <v>269</v>
      </c>
      <c r="C63" s="32">
        <f>C5</f>
        <v>0</v>
      </c>
      <c r="D63" s="39"/>
      <c r="E63" s="63"/>
      <c r="F63" s="63"/>
      <c r="G63" s="63"/>
      <c r="H63" s="39"/>
      <c r="I63" t="s">
        <v>61</v>
      </c>
      <c r="J63" s="168"/>
      <c r="K63" s="44"/>
    </row>
    <row r="64" spans="1:16" x14ac:dyDescent="0.5">
      <c r="B64" s="3" t="s">
        <v>259</v>
      </c>
      <c r="C64" s="92">
        <f>C6</f>
        <v>10000</v>
      </c>
      <c r="D64" s="95"/>
      <c r="E64" s="204"/>
      <c r="F64" s="63"/>
      <c r="G64" s="63"/>
      <c r="H64" s="40"/>
      <c r="I64" t="s">
        <v>105</v>
      </c>
      <c r="J64" s="168"/>
      <c r="K64" s="44"/>
    </row>
    <row r="65" spans="2:11" x14ac:dyDescent="0.5">
      <c r="B65" s="3" t="s">
        <v>260</v>
      </c>
      <c r="C65" s="92">
        <f>C7</f>
        <v>10</v>
      </c>
      <c r="D65" s="95"/>
      <c r="E65" s="39"/>
      <c r="F65" s="63"/>
      <c r="G65" s="63"/>
      <c r="H65" s="39"/>
      <c r="I65" t="s">
        <v>64</v>
      </c>
      <c r="J65" s="168"/>
      <c r="K65" s="44"/>
    </row>
    <row r="66" spans="2:11" x14ac:dyDescent="0.5">
      <c r="B66" s="3" t="s">
        <v>65</v>
      </c>
      <c r="C66" s="92">
        <f>C8</f>
        <v>70</v>
      </c>
      <c r="D66" s="95"/>
      <c r="E66" s="204"/>
      <c r="F66" s="63"/>
      <c r="G66" s="63"/>
      <c r="H66" s="39"/>
      <c r="I66" t="s">
        <v>66</v>
      </c>
      <c r="J66" s="168"/>
      <c r="K66" s="44"/>
    </row>
    <row r="67" spans="2:11" ht="14.7" thickBot="1" x14ac:dyDescent="0.55000000000000004">
      <c r="B67" s="5" t="s">
        <v>51</v>
      </c>
      <c r="C67" s="173"/>
      <c r="D67" s="173"/>
      <c r="E67" s="255" t="s">
        <v>575</v>
      </c>
      <c r="F67" s="67"/>
      <c r="G67" s="67"/>
      <c r="H67" s="41"/>
      <c r="I67" s="6" t="s">
        <v>74</v>
      </c>
      <c r="J67" s="169"/>
      <c r="K67" s="166"/>
    </row>
  </sheetData>
  <hyperlinks>
    <hyperlink ref="E18" r:id="rId1" xr:uid="{00000000-0004-0000-2600-000002000000}"/>
    <hyperlink ref="E19" r:id="rId2" xr:uid="{00000000-0004-0000-2600-000003000000}"/>
    <hyperlink ref="E16" r:id="rId3" xr:uid="{565A1BE1-808F-4355-A2A2-3E5B057134D0}"/>
    <hyperlink ref="E20" r:id="rId4" xr:uid="{C337F27F-FAC0-4D64-9F3B-9604730AF2EB}"/>
    <hyperlink ref="E21" r:id="rId5" xr:uid="{0F3592F0-82C8-4407-8AB6-ABF7F0E56F0F}"/>
  </hyperlinks>
  <pageMargins left="0.7" right="0.7" top="0.75" bottom="0.75" header="0.3" footer="0.3"/>
  <pageSetup paperSize="9" orientation="portrait" r:id="rId6"/>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abelle39">
    <tabColor theme="3" tint="0.59999389629810485"/>
  </sheetPr>
  <dimension ref="B3:L18"/>
  <sheetViews>
    <sheetView workbookViewId="0">
      <selection activeCell="M68" sqref="M68"/>
    </sheetView>
  </sheetViews>
  <sheetFormatPr defaultColWidth="11.46875" defaultRowHeight="14.35" x14ac:dyDescent="0.5"/>
  <cols>
    <col min="2" max="2" width="27.64453125" bestFit="1" customWidth="1"/>
    <col min="12" max="12" width="20.17578125" bestFit="1" customWidth="1"/>
  </cols>
  <sheetData>
    <row r="3" spans="2:12" x14ac:dyDescent="0.5">
      <c r="B3" s="13"/>
      <c r="C3" s="425">
        <v>2016</v>
      </c>
      <c r="D3" s="425"/>
      <c r="E3" s="425"/>
      <c r="F3" s="426">
        <v>2025</v>
      </c>
      <c r="G3" s="426"/>
      <c r="H3" s="426"/>
      <c r="I3" s="426">
        <v>2030</v>
      </c>
      <c r="J3" s="426"/>
      <c r="K3" s="426"/>
      <c r="L3" s="105"/>
    </row>
    <row r="4" spans="2:12" ht="18.350000000000001" thickBot="1" x14ac:dyDescent="0.65">
      <c r="B4" s="138" t="s">
        <v>578</v>
      </c>
      <c r="C4" s="106" t="s">
        <v>56</v>
      </c>
      <c r="D4" s="106" t="s">
        <v>57</v>
      </c>
      <c r="E4" s="106" t="s">
        <v>58</v>
      </c>
      <c r="F4" s="106" t="s">
        <v>56</v>
      </c>
      <c r="G4" s="106" t="s">
        <v>57</v>
      </c>
      <c r="H4" s="106" t="s">
        <v>58</v>
      </c>
      <c r="I4" s="106" t="s">
        <v>56</v>
      </c>
      <c r="J4" s="106" t="s">
        <v>57</v>
      </c>
      <c r="K4" s="106" t="s">
        <v>58</v>
      </c>
      <c r="L4" s="106" t="s">
        <v>59</v>
      </c>
    </row>
    <row r="5" spans="2:12" x14ac:dyDescent="0.5">
      <c r="B5" s="18" t="s">
        <v>255</v>
      </c>
      <c r="C5" s="81">
        <f>'Overview 2016 (in)'!D70</f>
        <v>70</v>
      </c>
      <c r="D5" s="19">
        <f>'Overview 2016 (in)'!E70</f>
        <v>20</v>
      </c>
      <c r="E5" s="20">
        <f>'Overview 2016 (in)'!F70</f>
        <v>45</v>
      </c>
      <c r="F5" s="81">
        <f t="shared" ref="F5:F15" si="0">IFERROR(C5*H5/E5,0)</f>
        <v>70</v>
      </c>
      <c r="G5" s="19">
        <f t="shared" ref="G5:G15" si="1">IFERROR(D5*H5/E5, 0)</f>
        <v>20</v>
      </c>
      <c r="H5" s="20">
        <f>E5</f>
        <v>45</v>
      </c>
      <c r="I5" s="81">
        <f>IFERROR(F5*K5/H5,0)</f>
        <v>70</v>
      </c>
      <c r="J5" s="19">
        <f>IFERROR(G5*K5/H5, 0)</f>
        <v>20</v>
      </c>
      <c r="K5" s="20">
        <f>H5</f>
        <v>45</v>
      </c>
      <c r="L5" s="21" t="s">
        <v>256</v>
      </c>
    </row>
    <row r="6" spans="2:12" x14ac:dyDescent="0.5">
      <c r="B6" s="3" t="s">
        <v>257</v>
      </c>
      <c r="C6" s="82">
        <f>'Overview 2016 (in)'!D71</f>
        <v>25</v>
      </c>
      <c r="D6" s="83">
        <f>'Overview 2016 (in)'!E71</f>
        <v>0.5</v>
      </c>
      <c r="E6" s="84">
        <f>'Overview 2016 (in)'!F71</f>
        <v>10</v>
      </c>
      <c r="F6" s="82">
        <f t="shared" si="0"/>
        <v>25</v>
      </c>
      <c r="G6" s="83">
        <f t="shared" si="1"/>
        <v>0.5</v>
      </c>
      <c r="H6" s="84">
        <f>E6</f>
        <v>10</v>
      </c>
      <c r="I6" s="82">
        <f t="shared" ref="I6:I15" si="2">IFERROR(F6*K6/H6,0)</f>
        <v>25</v>
      </c>
      <c r="J6" s="83">
        <f t="shared" ref="J6:J13" si="3">IFERROR(G6*K6/H6, 0)</f>
        <v>0.5</v>
      </c>
      <c r="K6" s="84">
        <f>H6</f>
        <v>10</v>
      </c>
      <c r="L6" s="22" t="s">
        <v>258</v>
      </c>
    </row>
    <row r="7" spans="2:12" x14ac:dyDescent="0.5">
      <c r="B7" s="18" t="s">
        <v>259</v>
      </c>
      <c r="C7" s="85">
        <f>'Overview 2016 (in)'!D72</f>
        <v>14000</v>
      </c>
      <c r="D7" s="23">
        <f>'Overview 2016 (in)'!E72</f>
        <v>300</v>
      </c>
      <c r="E7" s="107">
        <f>'ZnBr Flow (calc)'!D6</f>
        <v>4500</v>
      </c>
      <c r="F7" s="85">
        <f t="shared" ca="1" si="0"/>
        <v>14000</v>
      </c>
      <c r="G7" s="23">
        <f t="shared" ca="1" si="1"/>
        <v>300</v>
      </c>
      <c r="H7" s="107">
        <f ca="1">INDIRECT(ADDRESS(ROW($B6),COLUMN(E$4),1,,$B$4))</f>
        <v>4500</v>
      </c>
      <c r="I7" s="85">
        <f t="shared" ca="1" si="2"/>
        <v>15555.555555555555</v>
      </c>
      <c r="J7" s="23">
        <f t="shared" ca="1" si="3"/>
        <v>333.33333333333331</v>
      </c>
      <c r="K7" s="107">
        <f ca="1">INDIRECT(ADDRESS(ROW($B6),COLUMN($F4),1,,$B$4))</f>
        <v>5000</v>
      </c>
      <c r="L7" s="21" t="s">
        <v>105</v>
      </c>
    </row>
    <row r="8" spans="2:12" x14ac:dyDescent="0.5">
      <c r="B8" s="3" t="s">
        <v>260</v>
      </c>
      <c r="C8" s="86">
        <f>'Overview 2016 (in)'!D73</f>
        <v>20</v>
      </c>
      <c r="D8" s="87">
        <f>'Overview 2016 (in)'!E73</f>
        <v>5</v>
      </c>
      <c r="E8" s="109">
        <f>'Overview 2016 (in)'!F73</f>
        <v>10</v>
      </c>
      <c r="F8" s="86">
        <f t="shared" ca="1" si="0"/>
        <v>32</v>
      </c>
      <c r="G8" s="87">
        <f t="shared" ca="1" si="1"/>
        <v>8</v>
      </c>
      <c r="H8" s="109">
        <f ca="1">INDIRECT(ADDRESS(ROW($B7),COLUMN(E$4),1,,$B$4))</f>
        <v>16</v>
      </c>
      <c r="I8" s="86">
        <f t="shared" ca="1" si="2"/>
        <v>38</v>
      </c>
      <c r="J8" s="87">
        <f t="shared" ca="1" si="3"/>
        <v>9.5</v>
      </c>
      <c r="K8" s="109">
        <f ca="1">INDIRECT(ADDRESS(ROW($B7),COLUMN($F4),1,,$B$4))</f>
        <v>19</v>
      </c>
      <c r="L8" s="22" t="s">
        <v>64</v>
      </c>
    </row>
    <row r="9" spans="2:12" x14ac:dyDescent="0.5">
      <c r="B9" s="18" t="s">
        <v>81</v>
      </c>
      <c r="C9" s="85">
        <f>'Overview 2016 (in)'!D74</f>
        <v>100</v>
      </c>
      <c r="D9" s="23">
        <f>'ZnBr Flow (calc)'!D9</f>
        <v>80</v>
      </c>
      <c r="E9" s="24">
        <f>AVERAGE(C9:D9)</f>
        <v>90</v>
      </c>
      <c r="F9" s="85">
        <f t="shared" si="0"/>
        <v>100</v>
      </c>
      <c r="G9" s="23">
        <f>'ZnBr Flow (calc)'!E9</f>
        <v>80</v>
      </c>
      <c r="H9" s="24">
        <f>E9</f>
        <v>90</v>
      </c>
      <c r="I9" s="85">
        <f t="shared" si="2"/>
        <v>100</v>
      </c>
      <c r="J9" s="23">
        <f>'ZnBr Flow (calc)'!F9</f>
        <v>80</v>
      </c>
      <c r="K9" s="24">
        <f>H9</f>
        <v>90</v>
      </c>
      <c r="L9" s="21" t="s">
        <v>66</v>
      </c>
    </row>
    <row r="10" spans="2:12" x14ac:dyDescent="0.5">
      <c r="B10" s="3" t="s">
        <v>65</v>
      </c>
      <c r="C10" s="86">
        <f>'Overview 2016 (in)'!D75</f>
        <v>85</v>
      </c>
      <c r="D10" s="87">
        <f>'Overview 2016 (in)'!E75</f>
        <v>60</v>
      </c>
      <c r="E10" s="109">
        <f>'Overview 2016 (in)'!F75</f>
        <v>70</v>
      </c>
      <c r="F10" s="86">
        <f t="shared" ca="1" si="0"/>
        <v>86.214285714285708</v>
      </c>
      <c r="G10" s="87">
        <f t="shared" ca="1" si="1"/>
        <v>60.857142857142854</v>
      </c>
      <c r="H10" s="109">
        <f ca="1">INDIRECT(ADDRESS(ROW($B8),COLUMN(E$4),1,,$B$4))</f>
        <v>71</v>
      </c>
      <c r="I10" s="86">
        <f t="shared" ca="1" si="2"/>
        <v>87.428571428571416</v>
      </c>
      <c r="J10" s="87">
        <f t="shared" ca="1" si="3"/>
        <v>61.714285714285708</v>
      </c>
      <c r="K10" s="109">
        <f ca="1">INDIRECT(ADDRESS(ROW($B8),COLUMN($F4),1,,$B$4))</f>
        <v>72</v>
      </c>
      <c r="L10" s="22" t="s">
        <v>66</v>
      </c>
    </row>
    <row r="11" spans="2:12" x14ac:dyDescent="0.5">
      <c r="B11" s="18" t="s">
        <v>137</v>
      </c>
      <c r="C11" s="81">
        <f>'Overview 2016 (in)'!D76</f>
        <v>8</v>
      </c>
      <c r="D11" s="19">
        <f>'Overview 2016 (in)'!E76</f>
        <v>33.6</v>
      </c>
      <c r="E11" s="20">
        <f>'Overview 2016 (in)'!F76</f>
        <v>15</v>
      </c>
      <c r="F11" s="81">
        <f t="shared" si="0"/>
        <v>8</v>
      </c>
      <c r="G11" s="19">
        <f t="shared" si="1"/>
        <v>33.6</v>
      </c>
      <c r="H11" s="20">
        <f>E11</f>
        <v>15</v>
      </c>
      <c r="I11" s="81">
        <f t="shared" si="2"/>
        <v>8</v>
      </c>
      <c r="J11" s="19">
        <f t="shared" si="3"/>
        <v>33.6</v>
      </c>
      <c r="K11" s="20">
        <f>H11</f>
        <v>15</v>
      </c>
      <c r="L11" s="21" t="s">
        <v>261</v>
      </c>
    </row>
    <row r="12" spans="2:12" x14ac:dyDescent="0.5">
      <c r="B12" s="28" t="s">
        <v>262</v>
      </c>
      <c r="C12" s="82" t="str">
        <f>'Overview 2016 (in)'!D77</f>
        <v>&lt; 0.001</v>
      </c>
      <c r="D12" s="83">
        <f>'Overview 2016 (in)'!E77</f>
        <v>0.02</v>
      </c>
      <c r="E12" s="84">
        <f>'Overview 2016 (in)'!F77</f>
        <v>0.01</v>
      </c>
      <c r="F12" s="82">
        <f t="shared" si="0"/>
        <v>0</v>
      </c>
      <c r="G12" s="83">
        <f t="shared" si="1"/>
        <v>0.02</v>
      </c>
      <c r="H12" s="84">
        <f>E12</f>
        <v>0.01</v>
      </c>
      <c r="I12" s="82">
        <f t="shared" si="2"/>
        <v>0</v>
      </c>
      <c r="J12" s="83">
        <f t="shared" si="3"/>
        <v>0.02</v>
      </c>
      <c r="K12" s="84">
        <f>H12</f>
        <v>0.01</v>
      </c>
      <c r="L12" s="88" t="s">
        <v>265</v>
      </c>
    </row>
    <row r="13" spans="2:12" x14ac:dyDescent="0.5">
      <c r="B13" s="89" t="s">
        <v>266</v>
      </c>
      <c r="C13" s="90">
        <f>'Overview 2016 (in)'!D78</f>
        <v>0</v>
      </c>
      <c r="D13" s="25">
        <f>'Overview 2016 (in)'!E78</f>
        <v>0</v>
      </c>
      <c r="E13" s="26">
        <f>'Overview 2016 (in)'!F78</f>
        <v>0</v>
      </c>
      <c r="F13" s="90">
        <f t="shared" si="0"/>
        <v>0</v>
      </c>
      <c r="G13" s="25">
        <f t="shared" si="1"/>
        <v>0</v>
      </c>
      <c r="H13" s="26">
        <f>E13</f>
        <v>0</v>
      </c>
      <c r="I13" s="90">
        <f t="shared" si="2"/>
        <v>0</v>
      </c>
      <c r="J13" s="25">
        <f t="shared" si="3"/>
        <v>0</v>
      </c>
      <c r="K13" s="26">
        <f>H13</f>
        <v>0</v>
      </c>
      <c r="L13" s="21" t="s">
        <v>64</v>
      </c>
    </row>
    <row r="14" spans="2:12" x14ac:dyDescent="0.5">
      <c r="B14" s="28" t="s">
        <v>267</v>
      </c>
      <c r="C14" s="86">
        <f>'Overview 2016 (in)'!D79</f>
        <v>525</v>
      </c>
      <c r="D14" s="87">
        <f>'Overview 2016 (in)'!E79</f>
        <v>1680</v>
      </c>
      <c r="E14" s="108">
        <f>'Overview 2016 (in)'!F79</f>
        <v>900</v>
      </c>
      <c r="F14" s="86">
        <f t="shared" ca="1" si="0"/>
        <v>319.08333333333331</v>
      </c>
      <c r="G14" s="87">
        <f t="shared" ca="1" si="1"/>
        <v>1021.0666666666667</v>
      </c>
      <c r="H14" s="108">
        <f ca="1">IF(CELL("format",INDIRECT(ADDRESS(ROW($B4),COLUMN(E$4),1,,$B$4)))="W0-",INDIRECT(ADDRESS(ROW($B4),COLUMN(E$4),1,,$B$4))*'Overview 2016 (in)'!$O$7,INDIRECT(ADDRESS(ROW($B4),COLUMN(E$4),1,,$B$4)))</f>
        <v>547</v>
      </c>
      <c r="I14" s="86">
        <f t="shared" ca="1" si="2"/>
        <v>282.33333333333331</v>
      </c>
      <c r="J14" s="87">
        <f t="shared" ref="J14:J15" ca="1" si="4">IFERROR(G14*K14/H14,0)</f>
        <v>903.46666666666681</v>
      </c>
      <c r="K14" s="108">
        <f ca="1">IF(CELL("format",INDIRECT(ADDRESS(ROW($B4),COLUMN($F4),1,,$B$4)))="W0-",INDIRECT(ADDRESS(ROW($B4),COLUMN($F4),1,,$B$4))*'Overview 2016 (in)'!$O$7,INDIRECT(ADDRESS(ROW($B4),COLUMN($F4),1,,$B$4)))</f>
        <v>484</v>
      </c>
      <c r="L14" s="88" t="s">
        <v>268</v>
      </c>
    </row>
    <row r="15" spans="2:12" x14ac:dyDescent="0.5">
      <c r="B15" s="89" t="s">
        <v>269</v>
      </c>
      <c r="C15" s="23">
        <f>'Overview 2016 (in)'!D80</f>
        <v>0</v>
      </c>
      <c r="D15" s="23">
        <f>'Overview 2016 (in)'!E80</f>
        <v>0</v>
      </c>
      <c r="E15" s="107">
        <f>'Overview 2016 (in)'!F80</f>
        <v>0</v>
      </c>
      <c r="F15" s="23">
        <f t="shared" ca="1" si="0"/>
        <v>0</v>
      </c>
      <c r="G15" s="23">
        <f t="shared" ca="1" si="1"/>
        <v>0</v>
      </c>
      <c r="H15" s="107">
        <f ca="1">IF(CELL("format",INDIRECT(ADDRESS(ROW($B5),COLUMN(E$4),1,,$B$4)))="W0-",INDIRECT(ADDRESS(ROW($B5),COLUMN(E$4),1,,$B$4))*'Overview 2016 (in)'!$O$7,INDIRECT(ADDRESS(ROW($B5),COLUMN(E$4),1,,$B$4)))</f>
        <v>0</v>
      </c>
      <c r="I15" s="23">
        <f t="shared" ca="1" si="2"/>
        <v>0</v>
      </c>
      <c r="J15" s="23">
        <f t="shared" ca="1" si="4"/>
        <v>0</v>
      </c>
      <c r="K15" s="107">
        <f ca="1">IF(CELL("format",INDIRECT(ADDRESS(ROW($B5),COLUMN($F4),1,,$B$4)))="W0-",INDIRECT(ADDRESS(ROW($B5),COLUMN($F4),1,,$B$4))*'Overview 2016 (in)'!$O$7,INDIRECT(ADDRESS(ROW($B5),COLUMN($F4),1,,$B$4)))</f>
        <v>0</v>
      </c>
      <c r="L15" s="21" t="s">
        <v>61</v>
      </c>
    </row>
    <row r="16" spans="2:12" ht="14.7" thickBot="1" x14ac:dyDescent="0.55000000000000004">
      <c r="B16" s="245" t="s">
        <v>51</v>
      </c>
      <c r="C16" s="253">
        <f>'ZnBr Flow (calc)'!C10</f>
        <v>5</v>
      </c>
      <c r="D16" s="253">
        <f>'ZnBr Flow (calc)'!C11</f>
        <v>10</v>
      </c>
      <c r="E16" s="254">
        <f>AVERAGE(C16:D16)</f>
        <v>7.5</v>
      </c>
      <c r="F16" s="253">
        <f t="shared" ref="F16:K16" si="5">C16</f>
        <v>5</v>
      </c>
      <c r="G16" s="253">
        <f t="shared" si="5"/>
        <v>10</v>
      </c>
      <c r="H16" s="254">
        <f t="shared" si="5"/>
        <v>7.5</v>
      </c>
      <c r="I16" s="253">
        <f t="shared" si="5"/>
        <v>5</v>
      </c>
      <c r="J16" s="253">
        <f t="shared" si="5"/>
        <v>10</v>
      </c>
      <c r="K16" s="254">
        <f t="shared" si="5"/>
        <v>7.5</v>
      </c>
      <c r="L16" s="135" t="s">
        <v>74</v>
      </c>
    </row>
    <row r="17" spans="2:3" x14ac:dyDescent="0.5">
      <c r="C17" s="111"/>
    </row>
    <row r="18" spans="2:3" ht="18" x14ac:dyDescent="0.6">
      <c r="B18" s="1"/>
    </row>
  </sheetData>
  <mergeCells count="3">
    <mergeCell ref="C3:E3"/>
    <mergeCell ref="F3:H3"/>
    <mergeCell ref="I3:K3"/>
  </mergeCells>
  <pageMargins left="0.7" right="0.7" top="0.78740157499999996" bottom="0.78740157499999996"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Tabelle40">
    <tabColor theme="7" tint="0.39997558519241921"/>
  </sheetPr>
  <dimension ref="A2:S57"/>
  <sheetViews>
    <sheetView topLeftCell="A16" workbookViewId="0">
      <selection activeCell="M68" sqref="M68"/>
    </sheetView>
  </sheetViews>
  <sheetFormatPr defaultColWidth="9.17578125" defaultRowHeight="14.35" x14ac:dyDescent="0.5"/>
  <cols>
    <col min="2" max="2" width="26.52734375" customWidth="1"/>
    <col min="3" max="7" width="10.64453125" customWidth="1"/>
    <col min="8" max="8" width="13.8203125" customWidth="1"/>
    <col min="9" max="9" width="20.29296875" customWidth="1"/>
    <col min="10" max="12" width="12.64453125" customWidth="1"/>
  </cols>
  <sheetData>
    <row r="2" spans="2:16" ht="18.350000000000001" thickBot="1" x14ac:dyDescent="0.65">
      <c r="B2" s="1" t="s">
        <v>230</v>
      </c>
      <c r="C2" s="9"/>
      <c r="K2" s="1" t="s">
        <v>286</v>
      </c>
    </row>
    <row r="3" spans="2:16" x14ac:dyDescent="0.5">
      <c r="B3" s="4"/>
      <c r="C3" s="4">
        <v>2016</v>
      </c>
      <c r="D3" s="29">
        <v>2020</v>
      </c>
      <c r="E3" s="29">
        <v>2025</v>
      </c>
      <c r="F3" s="29">
        <v>2030</v>
      </c>
      <c r="G3" s="4" t="s">
        <v>59</v>
      </c>
      <c r="H3" s="3"/>
      <c r="I3" s="4" t="s">
        <v>287</v>
      </c>
      <c r="J3" s="4" t="s">
        <v>288</v>
      </c>
      <c r="K3" s="4" t="s">
        <v>289</v>
      </c>
      <c r="L3" s="4" t="s">
        <v>290</v>
      </c>
      <c r="O3" s="3"/>
      <c r="P3" s="3"/>
    </row>
    <row r="4" spans="2:16" x14ac:dyDescent="0.5">
      <c r="B4" s="3" t="s">
        <v>267</v>
      </c>
      <c r="C4" s="79"/>
      <c r="D4" s="79"/>
      <c r="E4" s="79"/>
      <c r="F4" s="79"/>
      <c r="G4" t="s">
        <v>268</v>
      </c>
      <c r="I4" s="35"/>
    </row>
    <row r="5" spans="2:16" x14ac:dyDescent="0.5">
      <c r="B5" s="3" t="s">
        <v>269</v>
      </c>
      <c r="C5" s="32">
        <f>'Overview 2016 (in)'!I80</f>
        <v>155.4</v>
      </c>
      <c r="D5" s="32">
        <v>100</v>
      </c>
      <c r="E5" s="32">
        <v>70</v>
      </c>
      <c r="F5" s="32">
        <v>60</v>
      </c>
      <c r="G5" t="s">
        <v>61</v>
      </c>
      <c r="I5" s="35" t="s">
        <v>350</v>
      </c>
      <c r="J5" t="s">
        <v>291</v>
      </c>
      <c r="K5" t="s">
        <v>291</v>
      </c>
      <c r="L5" t="s">
        <v>291</v>
      </c>
    </row>
    <row r="6" spans="2:16" x14ac:dyDescent="0.5">
      <c r="B6" s="3" t="s">
        <v>259</v>
      </c>
      <c r="G6" t="s">
        <v>105</v>
      </c>
      <c r="I6" s="35"/>
    </row>
    <row r="7" spans="2:16" x14ac:dyDescent="0.5">
      <c r="B7" s="3" t="s">
        <v>260</v>
      </c>
      <c r="C7">
        <f>'Overview 2016 (in)'!I73</f>
        <v>12</v>
      </c>
      <c r="D7">
        <v>24</v>
      </c>
      <c r="E7">
        <v>27</v>
      </c>
      <c r="F7">
        <v>30</v>
      </c>
      <c r="G7" t="s">
        <v>64</v>
      </c>
      <c r="I7" s="35" t="s">
        <v>350</v>
      </c>
      <c r="J7">
        <v>1</v>
      </c>
      <c r="K7">
        <v>1</v>
      </c>
      <c r="L7">
        <v>1</v>
      </c>
    </row>
    <row r="8" spans="2:16" ht="14.7" thickBot="1" x14ac:dyDescent="0.55000000000000004">
      <c r="B8" s="5" t="s">
        <v>65</v>
      </c>
      <c r="C8" s="6">
        <f>'Overview 2016 (in)'!I75</f>
        <v>95</v>
      </c>
      <c r="D8" s="6">
        <f>$C$8</f>
        <v>95</v>
      </c>
      <c r="E8" s="33">
        <f t="shared" ref="E8:F8" si="0">$C$8</f>
        <v>95</v>
      </c>
      <c r="F8" s="6">
        <f t="shared" si="0"/>
        <v>95</v>
      </c>
      <c r="G8" s="6" t="s">
        <v>66</v>
      </c>
      <c r="I8" s="36" t="s">
        <v>350</v>
      </c>
      <c r="J8" s="6"/>
      <c r="K8" s="6"/>
      <c r="L8" s="6"/>
    </row>
    <row r="9" spans="2:16" x14ac:dyDescent="0.5">
      <c r="B9" s="3"/>
      <c r="C9" s="10"/>
    </row>
    <row r="10" spans="2:16" ht="15.7" x14ac:dyDescent="0.55000000000000004">
      <c r="B10" s="77"/>
      <c r="C10" s="78"/>
      <c r="D10" s="78"/>
    </row>
    <row r="11" spans="2:16" x14ac:dyDescent="0.5">
      <c r="K11" s="2" t="s">
        <v>294</v>
      </c>
    </row>
    <row r="12" spans="2:16" ht="18.350000000000001" thickBot="1" x14ac:dyDescent="0.65">
      <c r="B12" s="1" t="s">
        <v>295</v>
      </c>
      <c r="K12" s="11" t="s">
        <v>296</v>
      </c>
    </row>
    <row r="13" spans="2:16" x14ac:dyDescent="0.5">
      <c r="B13" s="7" t="s">
        <v>297</v>
      </c>
      <c r="C13" s="7" t="s">
        <v>298</v>
      </c>
      <c r="D13" s="7" t="s">
        <v>299</v>
      </c>
      <c r="E13" s="7" t="s">
        <v>300</v>
      </c>
      <c r="F13" s="46" t="s">
        <v>553</v>
      </c>
      <c r="G13" s="7"/>
      <c r="H13" s="46" t="s">
        <v>579</v>
      </c>
      <c r="K13" s="40" t="s">
        <v>302</v>
      </c>
      <c r="L13" s="40"/>
    </row>
    <row r="14" spans="2:16" x14ac:dyDescent="0.5">
      <c r="B14">
        <v>1</v>
      </c>
      <c r="C14" t="s">
        <v>580</v>
      </c>
      <c r="E14" s="164"/>
      <c r="F14" s="45" t="s">
        <v>581</v>
      </c>
      <c r="H14" s="99" t="s">
        <v>582</v>
      </c>
    </row>
    <row r="15" spans="2:16" x14ac:dyDescent="0.5">
      <c r="B15">
        <v>2</v>
      </c>
      <c r="C15" t="s">
        <v>311</v>
      </c>
      <c r="D15" t="s">
        <v>312</v>
      </c>
      <c r="E15" s="164" t="s">
        <v>356</v>
      </c>
      <c r="F15" s="45" t="s">
        <v>314</v>
      </c>
      <c r="H15" s="99" t="s">
        <v>582</v>
      </c>
    </row>
    <row r="16" spans="2:16" x14ac:dyDescent="0.5">
      <c r="B16">
        <v>3</v>
      </c>
      <c r="C16" t="s">
        <v>354</v>
      </c>
      <c r="D16" t="s">
        <v>355</v>
      </c>
      <c r="E16" s="164" t="s">
        <v>356</v>
      </c>
      <c r="F16" s="45" t="s">
        <v>357</v>
      </c>
      <c r="H16" s="99" t="s">
        <v>583</v>
      </c>
      <c r="N16" s="53"/>
    </row>
    <row r="17" spans="1:19" x14ac:dyDescent="0.5">
      <c r="B17">
        <v>4</v>
      </c>
      <c r="C17" t="s">
        <v>584</v>
      </c>
      <c r="F17" s="45" t="s">
        <v>585</v>
      </c>
      <c r="H17" s="99" t="s">
        <v>586</v>
      </c>
      <c r="N17" s="53"/>
    </row>
    <row r="19" spans="1:19" x14ac:dyDescent="0.5">
      <c r="A19" s="68" t="s">
        <v>319</v>
      </c>
    </row>
    <row r="20" spans="1:19" ht="14.7" thickBot="1" x14ac:dyDescent="0.55000000000000004">
      <c r="A20" s="68" t="s">
        <v>320</v>
      </c>
      <c r="N20" s="53"/>
    </row>
    <row r="21" spans="1:19" x14ac:dyDescent="0.5">
      <c r="A21" s="3" t="s">
        <v>321</v>
      </c>
      <c r="B21" s="4"/>
      <c r="C21" s="4">
        <v>2016</v>
      </c>
      <c r="D21" s="29">
        <v>2020</v>
      </c>
      <c r="E21" s="4">
        <v>2024</v>
      </c>
      <c r="F21" s="29">
        <v>2025</v>
      </c>
      <c r="G21" s="29">
        <v>2030</v>
      </c>
      <c r="H21" s="4">
        <v>2034</v>
      </c>
      <c r="I21" s="4" t="s">
        <v>59</v>
      </c>
      <c r="J21" s="16" t="s">
        <v>322</v>
      </c>
      <c r="K21" s="4" t="s">
        <v>323</v>
      </c>
      <c r="N21" s="53"/>
      <c r="O21" s="3"/>
      <c r="P21" s="3"/>
      <c r="Q21" s="3"/>
      <c r="R21" s="3"/>
      <c r="S21" s="3"/>
    </row>
    <row r="22" spans="1:19" x14ac:dyDescent="0.5">
      <c r="B22" s="3" t="s">
        <v>267</v>
      </c>
      <c r="C22" s="96"/>
      <c r="D22" s="97"/>
      <c r="E22" s="96"/>
      <c r="F22" s="97"/>
      <c r="G22" s="97"/>
      <c r="H22" s="96"/>
      <c r="I22" t="s">
        <v>268</v>
      </c>
      <c r="J22" s="168"/>
      <c r="K22" s="44"/>
      <c r="N22" s="53"/>
      <c r="O22" s="12"/>
      <c r="P22" s="12"/>
      <c r="Q22" s="12"/>
      <c r="R22" s="12"/>
    </row>
    <row r="23" spans="1:19" x14ac:dyDescent="0.5">
      <c r="B23" s="3" t="s">
        <v>269</v>
      </c>
      <c r="C23" s="32">
        <f>C5</f>
        <v>155.4</v>
      </c>
      <c r="D23" s="54">
        <f>$C23*(1-$J23)^(D$21-$C$21)</f>
        <v>122.74094119493434</v>
      </c>
      <c r="E23" s="32">
        <f>73*Financials!D7</f>
        <v>96.945551128818053</v>
      </c>
      <c r="F23" s="54">
        <f>$E23*(1-$K23)^(F$21-$E$21)</f>
        <v>92.769535847025935</v>
      </c>
      <c r="G23" s="54">
        <f>$E23*(1-$K23)^(G$21-$E$21)</f>
        <v>74.437689187026081</v>
      </c>
      <c r="H23" s="32">
        <f>47*Financials!D7</f>
        <v>62.416998671978746</v>
      </c>
      <c r="I23" t="s">
        <v>61</v>
      </c>
      <c r="J23" s="168">
        <f>1-(E23/C23)^(1/(E$21-C$21))</f>
        <v>5.727590203668731E-2</v>
      </c>
      <c r="K23" s="44">
        <f>1-(H23/E23)^(1/(H$21-E$21))</f>
        <v>4.3075883660129599E-2</v>
      </c>
      <c r="N23" s="53"/>
      <c r="O23" s="12"/>
      <c r="P23" s="12"/>
      <c r="Q23" s="12"/>
      <c r="R23" s="12"/>
    </row>
    <row r="24" spans="1:19" x14ac:dyDescent="0.5">
      <c r="B24" s="3" t="s">
        <v>259</v>
      </c>
      <c r="C24" s="40"/>
      <c r="D24" s="63"/>
      <c r="E24" s="39"/>
      <c r="F24" s="63"/>
      <c r="G24" s="63"/>
      <c r="H24" s="40"/>
      <c r="I24" t="s">
        <v>105</v>
      </c>
      <c r="J24" s="168"/>
      <c r="K24" s="44"/>
      <c r="N24" s="53"/>
      <c r="O24" s="32"/>
      <c r="P24" s="32"/>
      <c r="Q24" s="32"/>
    </row>
    <row r="25" spans="1:19" x14ac:dyDescent="0.5">
      <c r="B25" s="3" t="s">
        <v>260</v>
      </c>
      <c r="C25">
        <f>C7</f>
        <v>12</v>
      </c>
      <c r="D25" s="54">
        <f>$C25*(1-$J25)^(D$21-$C$21)</f>
        <v>18.000000000000011</v>
      </c>
      <c r="E25" s="32">
        <v>27</v>
      </c>
      <c r="F25" s="54">
        <f>$E25*(1-$K25)^(F$21-$E$21)</f>
        <v>27.46264642970274</v>
      </c>
      <c r="G25" s="54">
        <f>$E25*(1-$K25)^(G$21-$E$21)</f>
        <v>29.8975425507724</v>
      </c>
      <c r="H25">
        <v>32</v>
      </c>
      <c r="I25" t="s">
        <v>64</v>
      </c>
      <c r="J25" s="168">
        <f>1-(E25/C25)^(1/(E$21-C$21))</f>
        <v>-0.1066819197003217</v>
      </c>
      <c r="K25" s="44">
        <f>1-(H25/E25)^(1/(H$21-E$21))</f>
        <v>-1.7135052951953389E-2</v>
      </c>
      <c r="N25" s="53"/>
      <c r="O25" s="32"/>
      <c r="P25" s="32"/>
      <c r="Q25" s="32"/>
    </row>
    <row r="26" spans="1:19" ht="14.7" thickBot="1" x14ac:dyDescent="0.55000000000000004">
      <c r="B26" s="5" t="s">
        <v>65</v>
      </c>
      <c r="C26" s="42"/>
      <c r="D26" s="67"/>
      <c r="E26" s="41"/>
      <c r="F26" s="67"/>
      <c r="G26" s="67"/>
      <c r="H26" s="42"/>
      <c r="I26" s="6" t="s">
        <v>66</v>
      </c>
      <c r="J26" s="169"/>
      <c r="K26" s="166"/>
      <c r="N26" s="53"/>
      <c r="O26" s="32"/>
      <c r="P26" s="32"/>
      <c r="Q26" s="32"/>
    </row>
    <row r="27" spans="1:19" ht="14.7" thickBot="1" x14ac:dyDescent="0.55000000000000004">
      <c r="J27" s="168"/>
      <c r="K27" s="44"/>
      <c r="N27" s="53"/>
    </row>
    <row r="28" spans="1:19" x14ac:dyDescent="0.5">
      <c r="A28" s="3" t="s">
        <v>325</v>
      </c>
      <c r="B28" s="4"/>
      <c r="C28" s="4">
        <v>2016</v>
      </c>
      <c r="D28" s="29">
        <v>2020</v>
      </c>
      <c r="E28" s="4">
        <v>2023</v>
      </c>
      <c r="F28" s="29">
        <v>2025</v>
      </c>
      <c r="G28" s="29">
        <v>2030</v>
      </c>
      <c r="H28" s="4">
        <v>2050</v>
      </c>
      <c r="I28" s="4" t="s">
        <v>59</v>
      </c>
      <c r="J28" s="170"/>
      <c r="K28" s="167"/>
      <c r="N28" s="53"/>
      <c r="O28" s="3"/>
      <c r="P28" s="3"/>
      <c r="Q28" s="3"/>
      <c r="R28" s="3"/>
      <c r="S28" s="3"/>
    </row>
    <row r="29" spans="1:19" x14ac:dyDescent="0.5">
      <c r="B29" s="3" t="s">
        <v>267</v>
      </c>
      <c r="C29" s="96"/>
      <c r="D29" s="97"/>
      <c r="E29" s="96"/>
      <c r="F29" s="97"/>
      <c r="G29" s="97"/>
      <c r="H29" s="96"/>
      <c r="I29" t="s">
        <v>268</v>
      </c>
      <c r="J29" s="168"/>
      <c r="K29" s="44"/>
      <c r="N29" s="53"/>
      <c r="O29" s="12"/>
      <c r="P29" s="12"/>
      <c r="Q29" s="12"/>
      <c r="R29" s="12"/>
    </row>
    <row r="30" spans="1:19" x14ac:dyDescent="0.5">
      <c r="B30" s="3" t="s">
        <v>269</v>
      </c>
      <c r="C30" s="32">
        <f>C5</f>
        <v>155.4</v>
      </c>
      <c r="D30" s="54">
        <f>$C30*(1-$J30)^(D$21-$C$21)</f>
        <v>107.10771640018064</v>
      </c>
      <c r="E30" s="32">
        <f>73*Financials!D8</f>
        <v>81.021087680355151</v>
      </c>
      <c r="F30" s="54">
        <f>$E30*(1-$K30)^(F$35-$E$35)</f>
        <v>78.168961055434664</v>
      </c>
      <c r="G30" s="54">
        <f>$E30*(1-$K30)^(G$28-$E$28)</f>
        <v>71.470203121183062</v>
      </c>
      <c r="H30" s="32">
        <f>45*Financials!D8</f>
        <v>49.944506104328518</v>
      </c>
      <c r="I30" t="s">
        <v>61</v>
      </c>
      <c r="J30" s="168">
        <f>1-(E30/C30)^(1/(E$28-C$28))</f>
        <v>8.884463566158618E-2</v>
      </c>
      <c r="K30" s="44">
        <f>1-(H30/E30)^(1/(H$28-E$28))</f>
        <v>1.7758825538509493E-2</v>
      </c>
      <c r="N30" s="53"/>
      <c r="O30" s="12"/>
      <c r="P30" s="12"/>
      <c r="Q30" s="12"/>
      <c r="R30" s="12"/>
    </row>
    <row r="31" spans="1:19" x14ac:dyDescent="0.5">
      <c r="B31" s="3" t="s">
        <v>259</v>
      </c>
      <c r="C31" s="40"/>
      <c r="D31" s="63"/>
      <c r="E31" s="39"/>
      <c r="F31" s="63"/>
      <c r="G31" s="63"/>
      <c r="H31" s="40"/>
      <c r="I31" t="s">
        <v>105</v>
      </c>
      <c r="J31" s="168"/>
      <c r="K31" s="44"/>
      <c r="N31" s="53"/>
      <c r="O31" s="32"/>
      <c r="P31" s="32"/>
      <c r="Q31" s="32"/>
    </row>
    <row r="32" spans="1:19" x14ac:dyDescent="0.5">
      <c r="B32" s="3" t="s">
        <v>260</v>
      </c>
      <c r="C32" s="39"/>
      <c r="D32" s="63"/>
      <c r="E32" s="39"/>
      <c r="F32" s="63"/>
      <c r="G32" s="63"/>
      <c r="H32" s="39"/>
      <c r="I32" t="s">
        <v>64</v>
      </c>
      <c r="J32" s="168"/>
      <c r="K32" s="44"/>
      <c r="N32" s="53"/>
      <c r="O32" s="32"/>
      <c r="P32" s="32"/>
      <c r="Q32" s="32"/>
    </row>
    <row r="33" spans="1:17" ht="14.7" thickBot="1" x14ac:dyDescent="0.55000000000000004">
      <c r="B33" s="5" t="s">
        <v>65</v>
      </c>
      <c r="C33" s="41"/>
      <c r="D33" s="67"/>
      <c r="E33" s="41"/>
      <c r="F33" s="67"/>
      <c r="G33" s="67"/>
      <c r="H33" s="41"/>
      <c r="I33" s="6" t="s">
        <v>66</v>
      </c>
      <c r="J33" s="169"/>
      <c r="K33" s="166"/>
      <c r="N33" s="53"/>
      <c r="O33" s="32"/>
      <c r="P33" s="32"/>
      <c r="Q33" s="32"/>
    </row>
    <row r="34" spans="1:17" ht="14.7" thickBot="1" x14ac:dyDescent="0.55000000000000004">
      <c r="J34" s="168"/>
      <c r="K34" s="44"/>
      <c r="N34" s="53"/>
    </row>
    <row r="35" spans="1:17" x14ac:dyDescent="0.5">
      <c r="A35" s="3" t="s">
        <v>326</v>
      </c>
      <c r="B35" s="4"/>
      <c r="C35" s="4">
        <v>2016</v>
      </c>
      <c r="D35" s="29">
        <v>2020</v>
      </c>
      <c r="E35" s="4">
        <v>2023</v>
      </c>
      <c r="F35" s="29">
        <v>2025</v>
      </c>
      <c r="G35" s="29">
        <v>2030</v>
      </c>
      <c r="H35" s="4">
        <v>2050</v>
      </c>
      <c r="I35" s="4" t="s">
        <v>59</v>
      </c>
      <c r="J35" s="170"/>
      <c r="K35" s="167"/>
      <c r="N35" s="53"/>
    </row>
    <row r="36" spans="1:17" x14ac:dyDescent="0.5">
      <c r="B36" s="3" t="s">
        <v>267</v>
      </c>
      <c r="C36" s="96"/>
      <c r="D36" s="97"/>
      <c r="E36" s="96"/>
      <c r="F36" s="97"/>
      <c r="G36" s="97"/>
      <c r="H36" s="96"/>
      <c r="I36" t="s">
        <v>268</v>
      </c>
      <c r="J36" s="168"/>
      <c r="K36" s="44"/>
    </row>
    <row r="37" spans="1:17" x14ac:dyDescent="0.5">
      <c r="B37" s="3" t="s">
        <v>269</v>
      </c>
      <c r="C37" s="32">
        <f>C5</f>
        <v>155.4</v>
      </c>
      <c r="D37" s="58">
        <f>92*Financials!D8</f>
        <v>102.10876803551609</v>
      </c>
      <c r="E37" s="39"/>
      <c r="F37" s="58">
        <f>75*Financials!D8</f>
        <v>83.240843507214208</v>
      </c>
      <c r="G37" s="54">
        <f>$D37*(1-$K37)^(G$35-$D$35)</f>
        <v>67.859383293924637</v>
      </c>
      <c r="H37" s="39"/>
      <c r="I37" t="s">
        <v>61</v>
      </c>
      <c r="J37" s="168"/>
      <c r="K37" s="44">
        <f>1-(F37/D37)^(1/(F$35-D$35))</f>
        <v>4.0036573558301702E-2</v>
      </c>
    </row>
    <row r="38" spans="1:17" x14ac:dyDescent="0.5">
      <c r="B38" s="3" t="s">
        <v>259</v>
      </c>
      <c r="C38" s="40"/>
      <c r="D38" s="63"/>
      <c r="E38" s="39"/>
      <c r="F38" s="63"/>
      <c r="G38" s="63"/>
      <c r="H38" s="40"/>
      <c r="I38" t="s">
        <v>105</v>
      </c>
      <c r="J38" s="168"/>
      <c r="K38" s="44"/>
    </row>
    <row r="39" spans="1:17" x14ac:dyDescent="0.5">
      <c r="B39" s="3" t="s">
        <v>260</v>
      </c>
      <c r="C39" s="39"/>
      <c r="D39" s="63"/>
      <c r="E39" s="39"/>
      <c r="F39" s="63"/>
      <c r="G39" s="63"/>
      <c r="H39" s="39"/>
      <c r="I39" t="s">
        <v>64</v>
      </c>
      <c r="J39" s="168"/>
      <c r="K39" s="44"/>
    </row>
    <row r="40" spans="1:17" ht="14.7" thickBot="1" x14ac:dyDescent="0.55000000000000004">
      <c r="B40" s="5" t="s">
        <v>65</v>
      </c>
      <c r="C40" s="41"/>
      <c r="D40" s="67"/>
      <c r="E40" s="41"/>
      <c r="F40" s="67"/>
      <c r="G40" s="67"/>
      <c r="H40" s="41"/>
      <c r="I40" s="6" t="s">
        <v>66</v>
      </c>
      <c r="J40" s="169"/>
      <c r="K40" s="166"/>
    </row>
    <row r="41" spans="1:17" ht="14.7" thickBot="1" x14ac:dyDescent="0.55000000000000004">
      <c r="B41" s="3"/>
      <c r="C41" s="32"/>
      <c r="D41" s="32"/>
      <c r="E41" s="32"/>
      <c r="F41" s="37"/>
      <c r="G41" s="37"/>
      <c r="J41" s="168"/>
      <c r="K41" s="44"/>
    </row>
    <row r="42" spans="1:17" x14ac:dyDescent="0.5">
      <c r="A42" s="3" t="s">
        <v>327</v>
      </c>
      <c r="B42" s="4"/>
      <c r="C42" s="4">
        <v>2016</v>
      </c>
      <c r="D42" s="29">
        <v>2020</v>
      </c>
      <c r="E42" s="4">
        <v>2023</v>
      </c>
      <c r="F42" s="29">
        <v>2025</v>
      </c>
      <c r="G42" s="29">
        <v>2030</v>
      </c>
      <c r="H42" s="4">
        <v>2050</v>
      </c>
      <c r="I42" s="4" t="s">
        <v>59</v>
      </c>
      <c r="J42" s="170"/>
      <c r="K42" s="167"/>
    </row>
    <row r="43" spans="1:17" x14ac:dyDescent="0.5">
      <c r="B43" s="3" t="s">
        <v>267</v>
      </c>
      <c r="C43" s="96"/>
      <c r="D43" s="97"/>
      <c r="E43" s="96"/>
      <c r="F43" s="97"/>
      <c r="G43" s="97"/>
      <c r="H43" s="96"/>
      <c r="I43" t="s">
        <v>268</v>
      </c>
      <c r="J43" s="168"/>
      <c r="K43" s="44"/>
    </row>
    <row r="44" spans="1:17" x14ac:dyDescent="0.5">
      <c r="B44" s="3" t="s">
        <v>269</v>
      </c>
      <c r="C44" s="32">
        <f>C5</f>
        <v>155.4</v>
      </c>
      <c r="D44" s="58">
        <f>95*Financials!D8</f>
        <v>105.43840177580465</v>
      </c>
      <c r="E44" s="39"/>
      <c r="F44" s="58">
        <f>69*Financials!D8</f>
        <v>76.581576026637066</v>
      </c>
      <c r="G44" s="58">
        <f>53*Financials!D8</f>
        <v>58.823529411764703</v>
      </c>
      <c r="H44" s="39"/>
      <c r="I44" t="s">
        <v>61</v>
      </c>
      <c r="J44" s="168"/>
      <c r="K44" s="44"/>
    </row>
    <row r="45" spans="1:17" x14ac:dyDescent="0.5">
      <c r="B45" s="3" t="s">
        <v>259</v>
      </c>
      <c r="C45" s="38"/>
      <c r="D45" s="63"/>
      <c r="E45" s="39"/>
      <c r="F45" s="63"/>
      <c r="G45" s="63"/>
      <c r="H45" s="40"/>
      <c r="I45" t="s">
        <v>105</v>
      </c>
      <c r="J45" s="168"/>
      <c r="K45" s="44"/>
    </row>
    <row r="46" spans="1:17" x14ac:dyDescent="0.5">
      <c r="B46" s="3" t="s">
        <v>260</v>
      </c>
      <c r="C46" s="38"/>
      <c r="D46" s="63"/>
      <c r="E46" s="39"/>
      <c r="F46" s="63"/>
      <c r="G46" s="63"/>
      <c r="H46" s="39"/>
      <c r="I46" t="s">
        <v>64</v>
      </c>
      <c r="J46" s="168"/>
      <c r="K46" s="44"/>
    </row>
    <row r="47" spans="1:17" ht="14.7" thickBot="1" x14ac:dyDescent="0.55000000000000004">
      <c r="B47" s="5" t="s">
        <v>65</v>
      </c>
      <c r="C47" s="174"/>
      <c r="D47" s="67"/>
      <c r="E47" s="41"/>
      <c r="F47" s="67"/>
      <c r="G47" s="67"/>
      <c r="H47" s="41"/>
      <c r="I47" s="6" t="s">
        <v>66</v>
      </c>
      <c r="J47" s="169"/>
      <c r="K47" s="166"/>
    </row>
    <row r="50" spans="2:9" ht="18" x14ac:dyDescent="0.6">
      <c r="B50" s="1"/>
      <c r="C50" s="9"/>
    </row>
    <row r="51" spans="2:9" x14ac:dyDescent="0.5">
      <c r="B51" s="3"/>
      <c r="C51" s="3"/>
      <c r="D51" s="3"/>
      <c r="E51" s="3"/>
      <c r="F51" s="3"/>
      <c r="G51" s="3"/>
      <c r="H51" s="3"/>
      <c r="I51" s="3"/>
    </row>
    <row r="52" spans="2:9" x14ac:dyDescent="0.5">
      <c r="B52" s="3"/>
      <c r="C52" s="12"/>
      <c r="D52" s="12"/>
      <c r="F52" s="12"/>
      <c r="G52" s="12"/>
    </row>
    <row r="53" spans="2:9" x14ac:dyDescent="0.5">
      <c r="B53" s="3"/>
      <c r="C53" s="12"/>
      <c r="D53" s="12"/>
      <c r="F53" s="12"/>
      <c r="G53" s="12"/>
    </row>
    <row r="54" spans="2:9" x14ac:dyDescent="0.5">
      <c r="B54" s="3"/>
      <c r="D54" s="79"/>
      <c r="F54" s="79"/>
      <c r="G54" s="79"/>
    </row>
    <row r="55" spans="2:9" x14ac:dyDescent="0.5">
      <c r="B55" s="3"/>
      <c r="D55" s="79"/>
      <c r="F55" s="79"/>
      <c r="G55" s="79"/>
    </row>
    <row r="56" spans="2:9" x14ac:dyDescent="0.5">
      <c r="B56" s="3"/>
      <c r="D56" s="79"/>
      <c r="F56" s="79"/>
      <c r="G56" s="79"/>
    </row>
    <row r="57" spans="2:9" x14ac:dyDescent="0.5">
      <c r="B57" s="3"/>
      <c r="C57" s="10"/>
    </row>
  </sheetData>
  <hyperlinks>
    <hyperlink ref="E15" r:id="rId1" xr:uid="{00000000-0004-0000-2800-000000000000}"/>
    <hyperlink ref="E16" r:id="rId2" xr:uid="{00000000-0004-0000-2800-000001000000}"/>
  </hyperlinks>
  <pageMargins left="0.7" right="0.7" top="0.75" bottom="0.75" header="0.3" footer="0.3"/>
  <pageSetup paperSize="9" orientation="portrait"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Tabelle41">
    <tabColor theme="7" tint="0.39997558519241921"/>
  </sheetPr>
  <dimension ref="B3:L18"/>
  <sheetViews>
    <sheetView workbookViewId="0">
      <selection activeCell="M68" sqref="M68"/>
    </sheetView>
  </sheetViews>
  <sheetFormatPr defaultColWidth="11.46875" defaultRowHeight="14.35" x14ac:dyDescent="0.5"/>
  <cols>
    <col min="2" max="2" width="27.64453125" bestFit="1" customWidth="1"/>
    <col min="12" max="12" width="20.17578125" bestFit="1" customWidth="1"/>
  </cols>
  <sheetData>
    <row r="3" spans="2:12" x14ac:dyDescent="0.5">
      <c r="B3" s="13"/>
      <c r="C3" s="425">
        <v>2016</v>
      </c>
      <c r="D3" s="425"/>
      <c r="E3" s="425"/>
      <c r="F3" s="426">
        <v>2025</v>
      </c>
      <c r="G3" s="426"/>
      <c r="H3" s="426"/>
      <c r="I3" s="426">
        <v>2030</v>
      </c>
      <c r="J3" s="426"/>
      <c r="K3" s="426"/>
      <c r="L3" s="105"/>
    </row>
    <row r="4" spans="2:12" ht="18.350000000000001" thickBot="1" x14ac:dyDescent="0.65">
      <c r="B4" s="138" t="s">
        <v>587</v>
      </c>
      <c r="C4" s="106" t="s">
        <v>56</v>
      </c>
      <c r="D4" s="106" t="s">
        <v>57</v>
      </c>
      <c r="E4" s="106" t="s">
        <v>58</v>
      </c>
      <c r="F4" s="106" t="s">
        <v>56</v>
      </c>
      <c r="G4" s="106" t="s">
        <v>57</v>
      </c>
      <c r="H4" s="106" t="s">
        <v>58</v>
      </c>
      <c r="I4" s="106" t="s">
        <v>56</v>
      </c>
      <c r="J4" s="106" t="s">
        <v>57</v>
      </c>
      <c r="K4" s="106" t="s">
        <v>58</v>
      </c>
      <c r="L4" s="106" t="s">
        <v>59</v>
      </c>
    </row>
    <row r="5" spans="2:12" x14ac:dyDescent="0.5">
      <c r="B5" s="18" t="s">
        <v>255</v>
      </c>
      <c r="C5" s="81">
        <f>'Overview 2016 (in)'!G70</f>
        <v>0</v>
      </c>
      <c r="D5" s="19">
        <f>'Overview 2016 (in)'!H70</f>
        <v>0</v>
      </c>
      <c r="E5" s="20">
        <f>'Overview 2016 (in)'!I70</f>
        <v>0</v>
      </c>
      <c r="F5" s="81">
        <f t="shared" ref="F5:F15" si="0">IFERROR(C5*H5/E5,0)</f>
        <v>0</v>
      </c>
      <c r="G5" s="19">
        <f t="shared" ref="G5:G15" si="1">IFERROR(D5*H5/E5, 0)</f>
        <v>0</v>
      </c>
      <c r="H5" s="20">
        <v>1</v>
      </c>
      <c r="I5" s="81">
        <f>IFERROR(F5*K5/H5,0)</f>
        <v>0</v>
      </c>
      <c r="J5" s="19">
        <f>IFERROR(G5*K5/H5, 0)</f>
        <v>0</v>
      </c>
      <c r="K5" s="20">
        <v>1</v>
      </c>
      <c r="L5" s="21" t="s">
        <v>256</v>
      </c>
    </row>
    <row r="6" spans="2:12" x14ac:dyDescent="0.5">
      <c r="B6" s="3" t="s">
        <v>257</v>
      </c>
      <c r="C6" s="82">
        <f>'Overview 2016 (in)'!G71</f>
        <v>0</v>
      </c>
      <c r="D6" s="83">
        <f>'Overview 2016 (in)'!H71</f>
        <v>0</v>
      </c>
      <c r="E6" s="84">
        <f>'Overview 2016 (in)'!I71</f>
        <v>0</v>
      </c>
      <c r="F6" s="82">
        <f t="shared" si="0"/>
        <v>0</v>
      </c>
      <c r="G6" s="83">
        <f t="shared" si="1"/>
        <v>0</v>
      </c>
      <c r="H6" s="84">
        <v>0.15</v>
      </c>
      <c r="I6" s="82">
        <f t="shared" ref="I6:I15" si="2">IFERROR(F6*K6/H6,0)</f>
        <v>0</v>
      </c>
      <c r="J6" s="83">
        <f t="shared" ref="J6:J13" si="3">IFERROR(G6*K6/H6, 0)</f>
        <v>0</v>
      </c>
      <c r="K6" s="84">
        <v>0.15</v>
      </c>
      <c r="L6" s="22" t="s">
        <v>258</v>
      </c>
    </row>
    <row r="7" spans="2:12" x14ac:dyDescent="0.5">
      <c r="B7" s="18" t="s">
        <v>259</v>
      </c>
      <c r="C7" s="85">
        <f>'Overview 2016 (in)'!G72</f>
        <v>0</v>
      </c>
      <c r="D7" s="23">
        <f>'Overview 2016 (in)'!H72</f>
        <v>0</v>
      </c>
      <c r="E7" s="107">
        <f>'Overview 2016 (in)'!I72</f>
        <v>0</v>
      </c>
      <c r="F7" s="85">
        <f t="shared" ca="1" si="0"/>
        <v>0</v>
      </c>
      <c r="G7" s="23">
        <f t="shared" ca="1" si="1"/>
        <v>0</v>
      </c>
      <c r="H7" s="107">
        <f ca="1">INDIRECT(ADDRESS(ROW($B6),COLUMN(E$4),1,,$B$4))</f>
        <v>0</v>
      </c>
      <c r="I7" s="85">
        <f t="shared" ca="1" si="2"/>
        <v>0</v>
      </c>
      <c r="J7" s="23">
        <f t="shared" ca="1" si="3"/>
        <v>0</v>
      </c>
      <c r="K7" s="107">
        <f ca="1">INDIRECT(ADDRESS(ROW($B6),COLUMN($F4),1,,$B$4))</f>
        <v>0</v>
      </c>
      <c r="L7" s="21" t="s">
        <v>105</v>
      </c>
    </row>
    <row r="8" spans="2:12" x14ac:dyDescent="0.5">
      <c r="B8" s="3" t="s">
        <v>260</v>
      </c>
      <c r="C8" s="86">
        <f>'Overview 2016 (in)'!G73</f>
        <v>25</v>
      </c>
      <c r="D8" s="87">
        <f>'Overview 2016 (in)'!H73</f>
        <v>10</v>
      </c>
      <c r="E8" s="109">
        <f>'Overview 2016 (in)'!I73</f>
        <v>12</v>
      </c>
      <c r="F8" s="86">
        <f t="shared" ca="1" si="0"/>
        <v>56.25</v>
      </c>
      <c r="G8" s="87">
        <f t="shared" ca="1" si="1"/>
        <v>22.5</v>
      </c>
      <c r="H8" s="109">
        <f ca="1">INDIRECT(ADDRESS(ROW($B7),COLUMN(E$4),1,,$B$4))</f>
        <v>27</v>
      </c>
      <c r="I8" s="86">
        <f t="shared" ca="1" si="2"/>
        <v>62.5</v>
      </c>
      <c r="J8" s="87">
        <f t="shared" ca="1" si="3"/>
        <v>25</v>
      </c>
      <c r="K8" s="109">
        <f ca="1">INDIRECT(ADDRESS(ROW($B7),COLUMN($F4),1,,$B$4))</f>
        <v>30</v>
      </c>
      <c r="L8" s="22" t="s">
        <v>64</v>
      </c>
    </row>
    <row r="9" spans="2:12" x14ac:dyDescent="0.5">
      <c r="B9" s="18" t="s">
        <v>81</v>
      </c>
      <c r="C9" s="85">
        <f>'Overview 2016 (in)'!G74</f>
        <v>0</v>
      </c>
      <c r="D9" s="23">
        <f>'Overview 2016 (in)'!H74</f>
        <v>0</v>
      </c>
      <c r="E9" s="24">
        <f>'Overview 2016 (in)'!I74</f>
        <v>0</v>
      </c>
      <c r="F9" s="85">
        <f t="shared" si="0"/>
        <v>0</v>
      </c>
      <c r="G9" s="23">
        <f t="shared" si="1"/>
        <v>0</v>
      </c>
      <c r="H9" s="24">
        <v>90</v>
      </c>
      <c r="I9" s="85">
        <f t="shared" si="2"/>
        <v>0</v>
      </c>
      <c r="J9" s="23">
        <f t="shared" si="3"/>
        <v>0</v>
      </c>
      <c r="K9" s="24">
        <v>90</v>
      </c>
      <c r="L9" s="21" t="s">
        <v>66</v>
      </c>
    </row>
    <row r="10" spans="2:12" x14ac:dyDescent="0.5">
      <c r="B10" s="3" t="s">
        <v>65</v>
      </c>
      <c r="C10" s="82">
        <f>'Overview 2016 (in)'!G75</f>
        <v>97</v>
      </c>
      <c r="D10" s="83">
        <f>'Overview 2016 (in)'!H75</f>
        <v>93</v>
      </c>
      <c r="E10" s="112">
        <f>'Overview 2016 (in)'!I75</f>
        <v>95</v>
      </c>
      <c r="F10" s="82">
        <f t="shared" ca="1" si="0"/>
        <v>97</v>
      </c>
      <c r="G10" s="83">
        <f t="shared" ca="1" si="1"/>
        <v>93</v>
      </c>
      <c r="H10" s="112">
        <f ca="1">INDIRECT(ADDRESS(ROW($B8),COLUMN(E$4),1,,$B$4))</f>
        <v>95</v>
      </c>
      <c r="I10" s="82">
        <f t="shared" ca="1" si="2"/>
        <v>97</v>
      </c>
      <c r="J10" s="83">
        <f t="shared" ca="1" si="3"/>
        <v>93</v>
      </c>
      <c r="K10" s="112">
        <f ca="1">INDIRECT(ADDRESS(ROW($B8),COLUMN($F4),1,,$B$4))</f>
        <v>95</v>
      </c>
      <c r="L10" s="22" t="s">
        <v>66</v>
      </c>
    </row>
    <row r="11" spans="2:12" x14ac:dyDescent="0.5">
      <c r="B11" s="18" t="s">
        <v>137</v>
      </c>
      <c r="C11" s="81">
        <f>'Overview 2016 (in)'!G76</f>
        <v>0</v>
      </c>
      <c r="D11" s="19">
        <f>'Overview 2016 (in)'!H76</f>
        <v>0</v>
      </c>
      <c r="E11" s="20">
        <f>'Overview 2016 (in)'!I76</f>
        <v>0</v>
      </c>
      <c r="F11" s="81">
        <f t="shared" si="0"/>
        <v>0</v>
      </c>
      <c r="G11" s="19">
        <f t="shared" si="1"/>
        <v>0</v>
      </c>
      <c r="H11" s="20">
        <v>0.01</v>
      </c>
      <c r="I11" s="81">
        <f t="shared" si="2"/>
        <v>0</v>
      </c>
      <c r="J11" s="19">
        <f t="shared" si="3"/>
        <v>0</v>
      </c>
      <c r="K11" s="20">
        <v>0.01</v>
      </c>
      <c r="L11" s="21" t="s">
        <v>261</v>
      </c>
    </row>
    <row r="12" spans="2:12" x14ac:dyDescent="0.5">
      <c r="B12" s="28" t="s">
        <v>262</v>
      </c>
      <c r="C12" s="82" t="str">
        <f>'Overview 2016 (in)'!G77</f>
        <v>-</v>
      </c>
      <c r="D12" s="83" t="str">
        <f>'Overview 2016 (in)'!H77</f>
        <v>-</v>
      </c>
      <c r="E12" s="84">
        <f>'Overview 2016 (in)'!I77</f>
        <v>0.02</v>
      </c>
      <c r="F12" s="82">
        <f t="shared" si="0"/>
        <v>0</v>
      </c>
      <c r="G12" s="83">
        <f t="shared" si="1"/>
        <v>0</v>
      </c>
      <c r="H12" s="84">
        <v>30</v>
      </c>
      <c r="I12" s="82">
        <f t="shared" si="2"/>
        <v>0</v>
      </c>
      <c r="J12" s="83">
        <f t="shared" si="3"/>
        <v>0</v>
      </c>
      <c r="K12" s="84">
        <v>30</v>
      </c>
      <c r="L12" s="88" t="s">
        <v>265</v>
      </c>
    </row>
    <row r="13" spans="2:12" x14ac:dyDescent="0.5">
      <c r="B13" s="89" t="s">
        <v>266</v>
      </c>
      <c r="C13" s="90">
        <f>'Overview 2016 (in)'!G78</f>
        <v>0</v>
      </c>
      <c r="D13" s="25">
        <f>'Overview 2016 (in)'!H78</f>
        <v>0</v>
      </c>
      <c r="E13" s="26">
        <f>'Overview 2016 (in)'!I78</f>
        <v>0</v>
      </c>
      <c r="F13" s="90">
        <f t="shared" si="0"/>
        <v>0</v>
      </c>
      <c r="G13" s="25">
        <f t="shared" si="1"/>
        <v>0</v>
      </c>
      <c r="H13" s="26">
        <v>15</v>
      </c>
      <c r="I13" s="90">
        <f t="shared" si="2"/>
        <v>0</v>
      </c>
      <c r="J13" s="25">
        <f t="shared" si="3"/>
        <v>0</v>
      </c>
      <c r="K13" s="26">
        <v>15</v>
      </c>
      <c r="L13" s="21" t="s">
        <v>64</v>
      </c>
    </row>
    <row r="14" spans="2:12" x14ac:dyDescent="0.5">
      <c r="B14" s="28" t="s">
        <v>267</v>
      </c>
      <c r="C14" s="86">
        <f>'Overview 2016 (in)'!G79</f>
        <v>0</v>
      </c>
      <c r="D14" s="87">
        <f>'Overview 2016 (in)'!H79</f>
        <v>0</v>
      </c>
      <c r="E14" s="108">
        <f>'Overview 2016 (in)'!I79</f>
        <v>0</v>
      </c>
      <c r="F14" s="86">
        <f t="shared" ca="1" si="0"/>
        <v>0</v>
      </c>
      <c r="G14" s="87">
        <f t="shared" ca="1" si="1"/>
        <v>0</v>
      </c>
      <c r="H14" s="108">
        <f ca="1">IF(CELL("format",INDIRECT(ADDRESS(ROW($B4),COLUMN(E$4),1,,$B$4)))="W0-",INDIRECT(ADDRESS(ROW($B4),COLUMN(E$4),1,,$B$4))*'Overview 2016 (in)'!$O$7,INDIRECT(ADDRESS(ROW($B4),COLUMN(E$4),1,,$B$4)))</f>
        <v>0</v>
      </c>
      <c r="I14" s="86">
        <f t="shared" ca="1" si="2"/>
        <v>0</v>
      </c>
      <c r="J14" s="87">
        <f t="shared" ref="J14:J15" ca="1" si="4">IFERROR(G14*K14/H14,0)</f>
        <v>0</v>
      </c>
      <c r="K14" s="108">
        <f ca="1">IF(CELL("format",INDIRECT(ADDRESS(ROW($B4),COLUMN($F4),1,,$B$4)))="W0-",INDIRECT(ADDRESS(ROW($B4),COLUMN($F4),1,,$B$4))*'Overview 2016 (in)'!$O$7,INDIRECT(ADDRESS(ROW($B4),COLUMN($F4),1,,$B$4)))</f>
        <v>0</v>
      </c>
      <c r="L14" s="88" t="s">
        <v>268</v>
      </c>
    </row>
    <row r="15" spans="2:12" ht="14.7" thickBot="1" x14ac:dyDescent="0.55000000000000004">
      <c r="B15" s="91" t="s">
        <v>269</v>
      </c>
      <c r="C15" s="100">
        <f>'Overview 2016 (in)'!G80</f>
        <v>105</v>
      </c>
      <c r="D15" s="100">
        <f>'Overview 2016 (in)'!H80</f>
        <v>290</v>
      </c>
      <c r="E15" s="110">
        <f>'Overview 2016 (in)'!I80</f>
        <v>155.4</v>
      </c>
      <c r="F15" s="100">
        <f t="shared" ca="1" si="0"/>
        <v>47.297297297297298</v>
      </c>
      <c r="G15" s="100">
        <f t="shared" ca="1" si="1"/>
        <v>130.63063063063063</v>
      </c>
      <c r="H15" s="110">
        <f ca="1">IF(CELL("format",INDIRECT(ADDRESS(ROW($B5),COLUMN(E$4),1,,$B$4)))="W0-",INDIRECT(ADDRESS(ROW($B5),COLUMN(E$4),1,,$B$4))*'Overview 2016 (in)'!$O$7,INDIRECT(ADDRESS(ROW($B5),COLUMN(E$4),1,,$B$4)))</f>
        <v>70</v>
      </c>
      <c r="I15" s="100">
        <f t="shared" ca="1" si="2"/>
        <v>40.54054054054054</v>
      </c>
      <c r="J15" s="100">
        <f t="shared" ca="1" si="4"/>
        <v>111.96911196911198</v>
      </c>
      <c r="K15" s="110">
        <f ca="1">IF(CELL("format",INDIRECT(ADDRESS(ROW($B5),COLUMN($F4),1,,$B$4)))="W0-",INDIRECT(ADDRESS(ROW($B5),COLUMN($F4),1,,$B$4))*'Overview 2016 (in)'!$O$7,INDIRECT(ADDRESS(ROW($B5),COLUMN($F4),1,,$B$4)))</f>
        <v>60</v>
      </c>
      <c r="L15" s="27" t="s">
        <v>61</v>
      </c>
    </row>
    <row r="17" spans="2:3" x14ac:dyDescent="0.5">
      <c r="C17" s="111"/>
    </row>
    <row r="18" spans="2:3" ht="18" x14ac:dyDescent="0.6">
      <c r="B18" s="1"/>
    </row>
  </sheetData>
  <mergeCells count="3">
    <mergeCell ref="C3:E3"/>
    <mergeCell ref="F3:H3"/>
    <mergeCell ref="I3:K3"/>
  </mergeCells>
  <pageMargins left="0.7" right="0.7" top="0.78740157499999996" bottom="0.78740157499999996"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Tabelle42">
    <tabColor theme="7" tint="0.39997558519241921"/>
  </sheetPr>
  <dimension ref="A2:S57"/>
  <sheetViews>
    <sheetView workbookViewId="0">
      <selection activeCell="M68" sqref="M68"/>
    </sheetView>
  </sheetViews>
  <sheetFormatPr defaultColWidth="9.17578125" defaultRowHeight="14.35" x14ac:dyDescent="0.5"/>
  <cols>
    <col min="2" max="2" width="26.52734375" customWidth="1"/>
    <col min="3" max="7" width="10.64453125" customWidth="1"/>
    <col min="8" max="8" width="13.8203125" customWidth="1"/>
    <col min="9" max="9" width="20.29296875" customWidth="1"/>
    <col min="10" max="12" width="12.64453125" customWidth="1"/>
  </cols>
  <sheetData>
    <row r="2" spans="2:16" ht="18.350000000000001" thickBot="1" x14ac:dyDescent="0.65">
      <c r="B2" s="1" t="s">
        <v>53</v>
      </c>
      <c r="C2" s="9"/>
      <c r="K2" s="1" t="s">
        <v>286</v>
      </c>
    </row>
    <row r="3" spans="2:16" x14ac:dyDescent="0.5">
      <c r="B3" s="4"/>
      <c r="C3" s="4">
        <v>2016</v>
      </c>
      <c r="D3" s="29">
        <v>2020</v>
      </c>
      <c r="E3" s="29">
        <v>2025</v>
      </c>
      <c r="F3" s="29">
        <v>2030</v>
      </c>
      <c r="G3" s="4" t="s">
        <v>59</v>
      </c>
      <c r="H3" s="3"/>
      <c r="I3" s="4" t="s">
        <v>287</v>
      </c>
      <c r="J3" s="4" t="s">
        <v>288</v>
      </c>
      <c r="K3" s="4" t="s">
        <v>289</v>
      </c>
      <c r="L3" s="4" t="s">
        <v>290</v>
      </c>
      <c r="O3" s="3"/>
      <c r="P3" s="3"/>
    </row>
    <row r="4" spans="2:16" x14ac:dyDescent="0.5">
      <c r="B4" s="3" t="s">
        <v>267</v>
      </c>
      <c r="C4" s="79"/>
      <c r="D4" s="79"/>
      <c r="E4" s="79"/>
      <c r="F4" s="79"/>
      <c r="G4" t="s">
        <v>268</v>
      </c>
      <c r="I4" s="35"/>
    </row>
    <row r="5" spans="2:16" x14ac:dyDescent="0.5">
      <c r="B5" s="3" t="s">
        <v>269</v>
      </c>
      <c r="C5" s="32">
        <f>'Overview 2016 (in)'!L80</f>
        <v>105</v>
      </c>
      <c r="D5" s="32">
        <v>85</v>
      </c>
      <c r="E5" s="32">
        <v>70</v>
      </c>
      <c r="F5" s="32">
        <v>55</v>
      </c>
      <c r="G5" t="s">
        <v>61</v>
      </c>
      <c r="I5" s="35" t="s">
        <v>350</v>
      </c>
      <c r="J5" t="s">
        <v>291</v>
      </c>
      <c r="K5" t="s">
        <v>291</v>
      </c>
      <c r="L5" t="s">
        <v>291</v>
      </c>
    </row>
    <row r="6" spans="2:16" x14ac:dyDescent="0.5">
      <c r="B6" s="3" t="s">
        <v>259</v>
      </c>
      <c r="G6" t="s">
        <v>105</v>
      </c>
      <c r="I6" s="35"/>
    </row>
    <row r="7" spans="2:16" x14ac:dyDescent="0.5">
      <c r="B7" s="3" t="s">
        <v>260</v>
      </c>
      <c r="C7">
        <f>'Overview 2016 (in)'!L73</f>
        <v>20</v>
      </c>
      <c r="D7">
        <v>24</v>
      </c>
      <c r="E7">
        <v>27</v>
      </c>
      <c r="F7">
        <v>30</v>
      </c>
      <c r="G7" t="s">
        <v>64</v>
      </c>
      <c r="I7" s="35" t="s">
        <v>350</v>
      </c>
      <c r="J7">
        <v>1</v>
      </c>
      <c r="K7">
        <v>1</v>
      </c>
      <c r="L7">
        <v>1</v>
      </c>
    </row>
    <row r="8" spans="2:16" ht="14.7" thickBot="1" x14ac:dyDescent="0.55000000000000004">
      <c r="B8" s="5" t="s">
        <v>65</v>
      </c>
      <c r="C8" s="6">
        <f>'Overview 2016 (in)'!L75</f>
        <v>98</v>
      </c>
      <c r="D8" s="6">
        <f>$C$8</f>
        <v>98</v>
      </c>
      <c r="E8" s="33">
        <f t="shared" ref="E8:F8" si="0">$C$8</f>
        <v>98</v>
      </c>
      <c r="F8" s="6">
        <f t="shared" si="0"/>
        <v>98</v>
      </c>
      <c r="G8" s="6" t="s">
        <v>66</v>
      </c>
      <c r="I8" s="36" t="s">
        <v>350</v>
      </c>
      <c r="J8" s="6"/>
      <c r="K8" s="6"/>
      <c r="L8" s="6"/>
    </row>
    <row r="9" spans="2:16" x14ac:dyDescent="0.5">
      <c r="B9" s="3"/>
      <c r="C9" s="10"/>
    </row>
    <row r="11" spans="2:16" x14ac:dyDescent="0.5">
      <c r="K11" s="2" t="s">
        <v>294</v>
      </c>
    </row>
    <row r="12" spans="2:16" ht="18.350000000000001" thickBot="1" x14ac:dyDescent="0.65">
      <c r="B12" s="1" t="s">
        <v>295</v>
      </c>
      <c r="K12" s="11" t="s">
        <v>296</v>
      </c>
    </row>
    <row r="13" spans="2:16" x14ac:dyDescent="0.5">
      <c r="B13" s="7" t="s">
        <v>297</v>
      </c>
      <c r="C13" s="7" t="s">
        <v>298</v>
      </c>
      <c r="D13" s="7" t="s">
        <v>299</v>
      </c>
      <c r="E13" s="7" t="s">
        <v>300</v>
      </c>
      <c r="F13" s="46" t="s">
        <v>553</v>
      </c>
      <c r="G13" s="7"/>
      <c r="H13" s="46" t="s">
        <v>579</v>
      </c>
      <c r="K13" s="40" t="s">
        <v>302</v>
      </c>
      <c r="L13" s="40"/>
    </row>
    <row r="14" spans="2:16" x14ac:dyDescent="0.5">
      <c r="B14">
        <v>1</v>
      </c>
      <c r="C14" t="s">
        <v>580</v>
      </c>
      <c r="E14" s="164"/>
      <c r="F14" s="45" t="s">
        <v>581</v>
      </c>
      <c r="H14" s="99" t="s">
        <v>582</v>
      </c>
    </row>
    <row r="15" spans="2:16" x14ac:dyDescent="0.5">
      <c r="B15">
        <v>2</v>
      </c>
      <c r="C15" t="s">
        <v>311</v>
      </c>
      <c r="D15" t="s">
        <v>312</v>
      </c>
      <c r="E15" s="164" t="s">
        <v>356</v>
      </c>
      <c r="F15" s="45" t="s">
        <v>314</v>
      </c>
      <c r="H15" s="99" t="s">
        <v>582</v>
      </c>
    </row>
    <row r="16" spans="2:16" x14ac:dyDescent="0.5">
      <c r="B16">
        <v>3</v>
      </c>
      <c r="C16" t="s">
        <v>354</v>
      </c>
      <c r="D16" t="s">
        <v>355</v>
      </c>
      <c r="E16" s="164" t="s">
        <v>356</v>
      </c>
      <c r="F16" s="45" t="s">
        <v>357</v>
      </c>
      <c r="H16" s="99" t="s">
        <v>583</v>
      </c>
      <c r="N16" s="53"/>
    </row>
    <row r="17" spans="1:19" x14ac:dyDescent="0.5">
      <c r="B17">
        <v>4</v>
      </c>
      <c r="C17" t="s">
        <v>584</v>
      </c>
      <c r="F17" s="45" t="s">
        <v>585</v>
      </c>
      <c r="H17" s="99" t="s">
        <v>586</v>
      </c>
      <c r="N17" s="53"/>
    </row>
    <row r="19" spans="1:19" x14ac:dyDescent="0.5">
      <c r="A19" s="68" t="s">
        <v>319</v>
      </c>
    </row>
    <row r="20" spans="1:19" ht="14.7" thickBot="1" x14ac:dyDescent="0.55000000000000004">
      <c r="A20" s="68" t="s">
        <v>320</v>
      </c>
      <c r="N20" s="53"/>
    </row>
    <row r="21" spans="1:19" x14ac:dyDescent="0.5">
      <c r="A21" s="3" t="s">
        <v>321</v>
      </c>
      <c r="B21" s="4"/>
      <c r="C21" s="4">
        <v>2016</v>
      </c>
      <c r="D21" s="29">
        <v>2020</v>
      </c>
      <c r="E21" s="4">
        <v>2024</v>
      </c>
      <c r="F21" s="29">
        <v>2025</v>
      </c>
      <c r="G21" s="29">
        <v>2030</v>
      </c>
      <c r="H21" s="4">
        <v>2034</v>
      </c>
      <c r="I21" s="4" t="s">
        <v>59</v>
      </c>
      <c r="J21" s="16" t="s">
        <v>322</v>
      </c>
      <c r="K21" s="4" t="s">
        <v>323</v>
      </c>
      <c r="N21" s="53"/>
      <c r="O21" s="3"/>
      <c r="P21" s="3"/>
      <c r="Q21" s="3"/>
      <c r="R21" s="3"/>
      <c r="S21" s="3"/>
    </row>
    <row r="22" spans="1:19" x14ac:dyDescent="0.5">
      <c r="B22" s="3" t="s">
        <v>267</v>
      </c>
      <c r="C22" s="96"/>
      <c r="D22" s="97"/>
      <c r="E22" s="96"/>
      <c r="F22" s="97"/>
      <c r="G22" s="97"/>
      <c r="H22" s="96"/>
      <c r="I22" t="s">
        <v>268</v>
      </c>
      <c r="J22" s="168"/>
      <c r="K22" s="44"/>
      <c r="N22" s="53"/>
      <c r="O22" s="12"/>
      <c r="P22" s="12"/>
      <c r="Q22" s="12"/>
      <c r="R22" s="12"/>
    </row>
    <row r="23" spans="1:19" x14ac:dyDescent="0.5">
      <c r="B23" s="3" t="s">
        <v>269</v>
      </c>
      <c r="C23" s="32">
        <f>C5</f>
        <v>105</v>
      </c>
      <c r="D23" s="54">
        <f>$C23*(1-$J23)^(D$21-$C$21)</f>
        <v>100.89243216676805</v>
      </c>
      <c r="E23" s="32">
        <f>73*Financials!D7</f>
        <v>96.945551128818053</v>
      </c>
      <c r="F23" s="54">
        <f>$E23*(1-$K23)^(F$21-$E$21)</f>
        <v>92.769535847025935</v>
      </c>
      <c r="G23" s="54">
        <f>$E23*(1-$K23)^(G$21-$E$21)</f>
        <v>74.437689187026081</v>
      </c>
      <c r="H23" s="32">
        <f>47*Financials!D7</f>
        <v>62.416998671978746</v>
      </c>
      <c r="I23" t="s">
        <v>61</v>
      </c>
      <c r="J23" s="168">
        <f>1-(E23/C23)^(1/(E$21-C$21))</f>
        <v>9.926758451989981E-3</v>
      </c>
      <c r="K23" s="44">
        <f>1-(H23/E23)^(1/(H$21-E$21))</f>
        <v>4.3075883660129599E-2</v>
      </c>
      <c r="N23" s="53"/>
      <c r="O23" s="12"/>
      <c r="P23" s="12"/>
      <c r="Q23" s="12"/>
      <c r="R23" s="12"/>
    </row>
    <row r="24" spans="1:19" x14ac:dyDescent="0.5">
      <c r="B24" s="3" t="s">
        <v>259</v>
      </c>
      <c r="C24" s="40"/>
      <c r="D24" s="63"/>
      <c r="E24" s="39"/>
      <c r="F24" s="63"/>
      <c r="G24" s="63"/>
      <c r="H24" s="40"/>
      <c r="I24" t="s">
        <v>105</v>
      </c>
      <c r="J24" s="168"/>
      <c r="K24" s="44"/>
      <c r="N24" s="53"/>
      <c r="O24" s="32"/>
      <c r="P24" s="32"/>
      <c r="Q24" s="32"/>
    </row>
    <row r="25" spans="1:19" x14ac:dyDescent="0.5">
      <c r="B25" s="3" t="s">
        <v>260</v>
      </c>
      <c r="C25">
        <f>C7</f>
        <v>20</v>
      </c>
      <c r="D25" s="54">
        <f>$C25*(1-$J25)^(D$21-$C$21)</f>
        <v>23.237900077244507</v>
      </c>
      <c r="E25" s="32">
        <v>27</v>
      </c>
      <c r="F25" s="54">
        <f>$E25*(1-$K25)^(F$21-$E$21)</f>
        <v>27.46264642970274</v>
      </c>
      <c r="G25" s="54">
        <f>$E25*(1-$K25)^(G$21-$E$21)</f>
        <v>29.8975425507724</v>
      </c>
      <c r="H25">
        <v>32</v>
      </c>
      <c r="I25" t="s">
        <v>64</v>
      </c>
      <c r="J25" s="168">
        <f>1-(E25/C25)^(1/(E$21-C$21))</f>
        <v>-3.8225570812649989E-2</v>
      </c>
      <c r="K25" s="44">
        <f>1-(H25/E25)^(1/(H$21-E$21))</f>
        <v>-1.7135052951953389E-2</v>
      </c>
      <c r="N25" s="53"/>
      <c r="O25" s="32"/>
      <c r="P25" s="32"/>
      <c r="Q25" s="32"/>
    </row>
    <row r="26" spans="1:19" ht="14.7" thickBot="1" x14ac:dyDescent="0.55000000000000004">
      <c r="B26" s="5" t="s">
        <v>65</v>
      </c>
      <c r="C26" s="42"/>
      <c r="D26" s="67"/>
      <c r="E26" s="41"/>
      <c r="F26" s="67"/>
      <c r="G26" s="67"/>
      <c r="H26" s="42"/>
      <c r="I26" s="6" t="s">
        <v>66</v>
      </c>
      <c r="J26" s="169"/>
      <c r="K26" s="166"/>
      <c r="N26" s="53"/>
      <c r="O26" s="32"/>
      <c r="P26" s="32"/>
      <c r="Q26" s="32"/>
    </row>
    <row r="27" spans="1:19" ht="14.7" thickBot="1" x14ac:dyDescent="0.55000000000000004">
      <c r="J27" s="168"/>
      <c r="K27" s="44"/>
      <c r="N27" s="53"/>
    </row>
    <row r="28" spans="1:19" x14ac:dyDescent="0.5">
      <c r="A28" s="3" t="s">
        <v>325</v>
      </c>
      <c r="B28" s="4"/>
      <c r="C28" s="4">
        <v>2016</v>
      </c>
      <c r="D28" s="29">
        <v>2020</v>
      </c>
      <c r="E28" s="4">
        <v>2023</v>
      </c>
      <c r="F28" s="29">
        <v>2025</v>
      </c>
      <c r="G28" s="29">
        <v>2030</v>
      </c>
      <c r="H28" s="4">
        <v>2050</v>
      </c>
      <c r="I28" s="4" t="s">
        <v>59</v>
      </c>
      <c r="J28" s="170"/>
      <c r="K28" s="167"/>
      <c r="N28" s="53"/>
      <c r="O28" s="3"/>
      <c r="P28" s="3"/>
      <c r="Q28" s="3"/>
      <c r="R28" s="3"/>
      <c r="S28" s="3"/>
    </row>
    <row r="29" spans="1:19" x14ac:dyDescent="0.5">
      <c r="B29" s="3" t="s">
        <v>267</v>
      </c>
      <c r="C29" s="96"/>
      <c r="D29" s="97"/>
      <c r="E29" s="96"/>
      <c r="F29" s="97"/>
      <c r="G29" s="97"/>
      <c r="H29" s="96"/>
      <c r="I29" t="s">
        <v>268</v>
      </c>
      <c r="J29" s="168"/>
      <c r="K29" s="44"/>
      <c r="N29" s="53"/>
      <c r="O29" s="12"/>
      <c r="P29" s="12"/>
      <c r="Q29" s="12"/>
      <c r="R29" s="12"/>
    </row>
    <row r="30" spans="1:19" x14ac:dyDescent="0.5">
      <c r="B30" s="3" t="s">
        <v>269</v>
      </c>
      <c r="C30" s="32">
        <f>C5</f>
        <v>105</v>
      </c>
      <c r="D30" s="54">
        <f>$C30*(1-$J30)^(D$21-$C$21)</f>
        <v>90.542285601293017</v>
      </c>
      <c r="E30" s="32">
        <f>73*Financials!D8</f>
        <v>81.021087680355151</v>
      </c>
      <c r="F30" s="54">
        <f>$E30*(1-$K30)^(F$35-$E$35)</f>
        <v>78.168961055434664</v>
      </c>
      <c r="G30" s="54">
        <f>$E30*(1-$K30)^(G$28-$E$28)</f>
        <v>71.470203121183062</v>
      </c>
      <c r="H30" s="32">
        <f>45*Financials!D8</f>
        <v>49.944506104328518</v>
      </c>
      <c r="I30" t="s">
        <v>61</v>
      </c>
      <c r="J30" s="168">
        <f>1-(E30/C30)^(1/(E$28-C$28))</f>
        <v>3.6358403235824621E-2</v>
      </c>
      <c r="K30" s="44">
        <f>1-(H30/E30)^(1/(H$28-E$28))</f>
        <v>1.7758825538509493E-2</v>
      </c>
      <c r="N30" s="53"/>
      <c r="O30" s="12"/>
      <c r="P30" s="12"/>
      <c r="Q30" s="12"/>
      <c r="R30" s="12"/>
    </row>
    <row r="31" spans="1:19" x14ac:dyDescent="0.5">
      <c r="B31" s="3" t="s">
        <v>259</v>
      </c>
      <c r="C31" s="40"/>
      <c r="D31" s="63"/>
      <c r="E31" s="39"/>
      <c r="F31" s="63"/>
      <c r="G31" s="63"/>
      <c r="H31" s="40"/>
      <c r="I31" t="s">
        <v>105</v>
      </c>
      <c r="J31" s="168"/>
      <c r="K31" s="44"/>
      <c r="N31" s="53"/>
      <c r="O31" s="32"/>
      <c r="P31" s="32"/>
      <c r="Q31" s="32"/>
    </row>
    <row r="32" spans="1:19" x14ac:dyDescent="0.5">
      <c r="B32" s="3" t="s">
        <v>260</v>
      </c>
      <c r="C32" s="39"/>
      <c r="D32" s="63"/>
      <c r="E32" s="39"/>
      <c r="F32" s="63"/>
      <c r="G32" s="63"/>
      <c r="H32" s="39"/>
      <c r="I32" t="s">
        <v>64</v>
      </c>
      <c r="J32" s="168"/>
      <c r="K32" s="44"/>
      <c r="N32" s="53"/>
      <c r="O32" s="32"/>
      <c r="P32" s="32"/>
      <c r="Q32" s="32"/>
    </row>
    <row r="33" spans="1:17" ht="14.7" thickBot="1" x14ac:dyDescent="0.55000000000000004">
      <c r="B33" s="5" t="s">
        <v>65</v>
      </c>
      <c r="C33" s="41"/>
      <c r="D33" s="67"/>
      <c r="E33" s="41"/>
      <c r="F33" s="67"/>
      <c r="G33" s="67"/>
      <c r="H33" s="41"/>
      <c r="I33" s="6" t="s">
        <v>66</v>
      </c>
      <c r="J33" s="169"/>
      <c r="K33" s="166"/>
      <c r="N33" s="53"/>
      <c r="O33" s="32"/>
      <c r="P33" s="32"/>
      <c r="Q33" s="32"/>
    </row>
    <row r="34" spans="1:17" ht="14.7" thickBot="1" x14ac:dyDescent="0.55000000000000004">
      <c r="J34" s="168"/>
      <c r="K34" s="44"/>
      <c r="N34" s="53"/>
    </row>
    <row r="35" spans="1:17" x14ac:dyDescent="0.5">
      <c r="A35" s="3" t="s">
        <v>326</v>
      </c>
      <c r="B35" s="4"/>
      <c r="C35" s="4">
        <v>2016</v>
      </c>
      <c r="D35" s="29">
        <v>2020</v>
      </c>
      <c r="E35" s="4">
        <v>2023</v>
      </c>
      <c r="F35" s="29">
        <v>2025</v>
      </c>
      <c r="G35" s="29">
        <v>2030</v>
      </c>
      <c r="H35" s="4">
        <v>2050</v>
      </c>
      <c r="I35" s="4" t="s">
        <v>59</v>
      </c>
      <c r="J35" s="170"/>
      <c r="K35" s="167"/>
      <c r="N35" s="53"/>
    </row>
    <row r="36" spans="1:17" x14ac:dyDescent="0.5">
      <c r="B36" s="3" t="s">
        <v>267</v>
      </c>
      <c r="C36" s="96"/>
      <c r="D36" s="97"/>
      <c r="E36" s="96"/>
      <c r="F36" s="97"/>
      <c r="G36" s="97"/>
      <c r="H36" s="96"/>
      <c r="I36" t="s">
        <v>268</v>
      </c>
      <c r="J36" s="168"/>
      <c r="K36" s="44"/>
    </row>
    <row r="37" spans="1:17" x14ac:dyDescent="0.5">
      <c r="B37" s="3" t="s">
        <v>269</v>
      </c>
      <c r="C37" s="32">
        <f>C5</f>
        <v>105</v>
      </c>
      <c r="D37" s="58">
        <f>92*Financials!D8</f>
        <v>102.10876803551609</v>
      </c>
      <c r="E37" s="39"/>
      <c r="F37" s="58">
        <f>75*Financials!D8</f>
        <v>83.240843507214208</v>
      </c>
      <c r="G37" s="54">
        <f>$D37*(1-$K37)^(G$35-$D$35)</f>
        <v>67.859383293924637</v>
      </c>
      <c r="H37" s="39"/>
      <c r="I37" t="s">
        <v>61</v>
      </c>
      <c r="J37" s="168"/>
      <c r="K37" s="44">
        <f>1-(F37/D37)^(1/(F$35-D$35))</f>
        <v>4.0036573558301702E-2</v>
      </c>
    </row>
    <row r="38" spans="1:17" x14ac:dyDescent="0.5">
      <c r="B38" s="3" t="s">
        <v>259</v>
      </c>
      <c r="C38" s="40"/>
      <c r="D38" s="63"/>
      <c r="E38" s="39"/>
      <c r="F38" s="63"/>
      <c r="G38" s="63"/>
      <c r="H38" s="40"/>
      <c r="I38" t="s">
        <v>105</v>
      </c>
      <c r="J38" s="168"/>
      <c r="K38" s="44"/>
    </row>
    <row r="39" spans="1:17" x14ac:dyDescent="0.5">
      <c r="B39" s="3" t="s">
        <v>260</v>
      </c>
      <c r="C39" s="39"/>
      <c r="D39" s="63"/>
      <c r="E39" s="39"/>
      <c r="F39" s="63"/>
      <c r="G39" s="63"/>
      <c r="H39" s="39"/>
      <c r="I39" t="s">
        <v>64</v>
      </c>
      <c r="J39" s="168"/>
      <c r="K39" s="44"/>
    </row>
    <row r="40" spans="1:17" ht="14.7" thickBot="1" x14ac:dyDescent="0.55000000000000004">
      <c r="B40" s="5" t="s">
        <v>65</v>
      </c>
      <c r="C40" s="41"/>
      <c r="D40" s="67"/>
      <c r="E40" s="41"/>
      <c r="F40" s="67"/>
      <c r="G40" s="67"/>
      <c r="H40" s="41"/>
      <c r="I40" s="6" t="s">
        <v>66</v>
      </c>
      <c r="J40" s="169"/>
      <c r="K40" s="166"/>
    </row>
    <row r="41" spans="1:17" ht="14.7" thickBot="1" x14ac:dyDescent="0.55000000000000004">
      <c r="B41" s="3"/>
      <c r="C41" s="32"/>
      <c r="D41" s="32"/>
      <c r="E41" s="32"/>
      <c r="F41" s="37"/>
      <c r="G41" s="37"/>
      <c r="J41" s="168"/>
      <c r="K41" s="44"/>
    </row>
    <row r="42" spans="1:17" x14ac:dyDescent="0.5">
      <c r="A42" s="3" t="s">
        <v>327</v>
      </c>
      <c r="B42" s="4"/>
      <c r="C42" s="4">
        <v>2016</v>
      </c>
      <c r="D42" s="29">
        <v>2020</v>
      </c>
      <c r="E42" s="4">
        <v>2023</v>
      </c>
      <c r="F42" s="29">
        <v>2025</v>
      </c>
      <c r="G42" s="29">
        <v>2030</v>
      </c>
      <c r="H42" s="4">
        <v>2050</v>
      </c>
      <c r="I42" s="4" t="s">
        <v>59</v>
      </c>
      <c r="J42" s="170"/>
      <c r="K42" s="167"/>
    </row>
    <row r="43" spans="1:17" x14ac:dyDescent="0.5">
      <c r="B43" s="3" t="s">
        <v>267</v>
      </c>
      <c r="C43" s="96"/>
      <c r="D43" s="97"/>
      <c r="E43" s="96"/>
      <c r="F43" s="97"/>
      <c r="G43" s="97"/>
      <c r="H43" s="96"/>
      <c r="I43" t="s">
        <v>268</v>
      </c>
      <c r="J43" s="168"/>
      <c r="K43" s="44"/>
    </row>
    <row r="44" spans="1:17" x14ac:dyDescent="0.5">
      <c r="B44" s="3" t="s">
        <v>269</v>
      </c>
      <c r="C44" s="32">
        <f>C5</f>
        <v>105</v>
      </c>
      <c r="D44" s="58">
        <f>95*Financials!D8</f>
        <v>105.43840177580465</v>
      </c>
      <c r="E44" s="39"/>
      <c r="F44" s="58">
        <f>69*Financials!D8</f>
        <v>76.581576026637066</v>
      </c>
      <c r="G44" s="58">
        <f>53*Financials!D8</f>
        <v>58.823529411764703</v>
      </c>
      <c r="H44" s="39"/>
      <c r="I44" t="s">
        <v>61</v>
      </c>
      <c r="J44" s="168"/>
      <c r="K44" s="44"/>
    </row>
    <row r="45" spans="1:17" x14ac:dyDescent="0.5">
      <c r="B45" s="3" t="s">
        <v>259</v>
      </c>
      <c r="C45" s="38"/>
      <c r="D45" s="63"/>
      <c r="E45" s="39"/>
      <c r="F45" s="63"/>
      <c r="G45" s="63"/>
      <c r="H45" s="40"/>
      <c r="I45" t="s">
        <v>105</v>
      </c>
      <c r="J45" s="168"/>
      <c r="K45" s="44"/>
    </row>
    <row r="46" spans="1:17" x14ac:dyDescent="0.5">
      <c r="B46" s="3" t="s">
        <v>260</v>
      </c>
      <c r="C46" s="38"/>
      <c r="D46" s="63"/>
      <c r="E46" s="39"/>
      <c r="F46" s="63"/>
      <c r="G46" s="63"/>
      <c r="H46" s="39"/>
      <c r="I46" t="s">
        <v>64</v>
      </c>
      <c r="J46" s="168"/>
      <c r="K46" s="44"/>
    </row>
    <row r="47" spans="1:17" ht="14.7" thickBot="1" x14ac:dyDescent="0.55000000000000004">
      <c r="B47" s="5" t="s">
        <v>65</v>
      </c>
      <c r="C47" s="174"/>
      <c r="D47" s="67"/>
      <c r="E47" s="41"/>
      <c r="F47" s="67"/>
      <c r="G47" s="67"/>
      <c r="H47" s="41"/>
      <c r="I47" s="6" t="s">
        <v>66</v>
      </c>
      <c r="J47" s="169"/>
      <c r="K47" s="166"/>
    </row>
    <row r="50" spans="2:9" ht="18" x14ac:dyDescent="0.6">
      <c r="B50" s="1"/>
      <c r="C50" s="9"/>
    </row>
    <row r="51" spans="2:9" x14ac:dyDescent="0.5">
      <c r="B51" s="3"/>
      <c r="C51" s="3"/>
      <c r="D51" s="3"/>
      <c r="E51" s="3"/>
      <c r="F51" s="3"/>
      <c r="G51" s="3"/>
      <c r="H51" s="3"/>
      <c r="I51" s="3"/>
    </row>
    <row r="52" spans="2:9" x14ac:dyDescent="0.5">
      <c r="B52" s="3"/>
      <c r="C52" s="12"/>
      <c r="D52" s="12"/>
      <c r="F52" s="12"/>
      <c r="G52" s="12"/>
    </row>
    <row r="53" spans="2:9" x14ac:dyDescent="0.5">
      <c r="B53" s="3"/>
      <c r="C53" s="12"/>
      <c r="D53" s="12"/>
      <c r="F53" s="12"/>
      <c r="G53" s="12"/>
    </row>
    <row r="54" spans="2:9" x14ac:dyDescent="0.5">
      <c r="B54" s="3"/>
      <c r="D54" s="79"/>
      <c r="F54" s="79"/>
      <c r="G54" s="79"/>
    </row>
    <row r="55" spans="2:9" x14ac:dyDescent="0.5">
      <c r="B55" s="3"/>
      <c r="D55" s="79"/>
      <c r="F55" s="79"/>
      <c r="G55" s="79"/>
    </row>
    <row r="56" spans="2:9" x14ac:dyDescent="0.5">
      <c r="B56" s="3"/>
      <c r="D56" s="79"/>
      <c r="F56" s="79"/>
      <c r="G56" s="79"/>
    </row>
    <row r="57" spans="2:9" x14ac:dyDescent="0.5">
      <c r="B57" s="3"/>
      <c r="C57" s="10"/>
    </row>
  </sheetData>
  <hyperlinks>
    <hyperlink ref="E15" r:id="rId1" xr:uid="{00000000-0004-0000-2A00-000000000000}"/>
    <hyperlink ref="E16" r:id="rId2" xr:uid="{00000000-0004-0000-2A00-000001000000}"/>
  </hyperlinks>
  <pageMargins left="0.7" right="0.7" top="0.75" bottom="0.75" header="0.3" footer="0.3"/>
  <pageSetup paperSize="9" orientation="portrait"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Tabelle43">
    <tabColor theme="7" tint="0.39997558519241921"/>
  </sheetPr>
  <dimension ref="B3:L18"/>
  <sheetViews>
    <sheetView workbookViewId="0"/>
  </sheetViews>
  <sheetFormatPr defaultColWidth="11.46875" defaultRowHeight="14.35" x14ac:dyDescent="0.5"/>
  <cols>
    <col min="2" max="2" width="27.64453125" bestFit="1" customWidth="1"/>
    <col min="12" max="12" width="20.17578125" bestFit="1" customWidth="1"/>
  </cols>
  <sheetData>
    <row r="3" spans="2:12" x14ac:dyDescent="0.5">
      <c r="C3" s="425">
        <v>2016</v>
      </c>
      <c r="D3" s="425"/>
      <c r="E3" s="425"/>
      <c r="F3" s="426">
        <v>2025</v>
      </c>
      <c r="G3" s="426"/>
      <c r="H3" s="426"/>
      <c r="I3" s="426">
        <v>2030</v>
      </c>
      <c r="J3" s="426"/>
      <c r="K3" s="426"/>
      <c r="L3" s="105"/>
    </row>
    <row r="4" spans="2:12" ht="18.350000000000001" thickBot="1" x14ac:dyDescent="0.65">
      <c r="B4" s="104" t="s">
        <v>588</v>
      </c>
      <c r="C4" s="106" t="s">
        <v>56</v>
      </c>
      <c r="D4" s="106" t="s">
        <v>57</v>
      </c>
      <c r="E4" s="106" t="s">
        <v>58</v>
      </c>
      <c r="F4" s="106" t="s">
        <v>56</v>
      </c>
      <c r="G4" s="106" t="s">
        <v>57</v>
      </c>
      <c r="H4" s="106" t="s">
        <v>58</v>
      </c>
      <c r="I4" s="106" t="s">
        <v>56</v>
      </c>
      <c r="J4" s="106" t="s">
        <v>57</v>
      </c>
      <c r="K4" s="106" t="s">
        <v>58</v>
      </c>
      <c r="L4" s="106" t="s">
        <v>59</v>
      </c>
    </row>
    <row r="5" spans="2:12" x14ac:dyDescent="0.5">
      <c r="B5" s="18" t="s">
        <v>255</v>
      </c>
      <c r="C5" s="81">
        <f>'Overview 2016 (in)'!J70</f>
        <v>0</v>
      </c>
      <c r="D5" s="19">
        <f>'Overview 2016 (in)'!K70</f>
        <v>0</v>
      </c>
      <c r="E5" s="20">
        <f>'Overview 2016 (in)'!L70</f>
        <v>0</v>
      </c>
      <c r="F5" s="81">
        <f t="shared" ref="F5:F15" si="0">IFERROR(C5*H5/E5,0)</f>
        <v>0</v>
      </c>
      <c r="G5" s="19">
        <f t="shared" ref="G5:G15" si="1">IFERROR(D5*H5/E5, 0)</f>
        <v>0</v>
      </c>
      <c r="H5" s="20">
        <v>1</v>
      </c>
      <c r="I5" s="81">
        <f>IFERROR(F5*K5/H5,0)</f>
        <v>0</v>
      </c>
      <c r="J5" s="19">
        <f>IFERROR(G5*K5/H5, 0)</f>
        <v>0</v>
      </c>
      <c r="K5" s="20">
        <v>1</v>
      </c>
      <c r="L5" s="21" t="s">
        <v>256</v>
      </c>
    </row>
    <row r="6" spans="2:12" x14ac:dyDescent="0.5">
      <c r="B6" s="3" t="s">
        <v>257</v>
      </c>
      <c r="C6" s="82">
        <f>'Overview 2016 (in)'!J71</f>
        <v>0</v>
      </c>
      <c r="D6" s="83">
        <f>'Overview 2016 (in)'!K71</f>
        <v>0</v>
      </c>
      <c r="E6" s="84">
        <f>'Overview 2016 (in)'!L71</f>
        <v>0</v>
      </c>
      <c r="F6" s="82">
        <f t="shared" si="0"/>
        <v>0</v>
      </c>
      <c r="G6" s="83">
        <f t="shared" si="1"/>
        <v>0</v>
      </c>
      <c r="H6" s="84">
        <v>0.15</v>
      </c>
      <c r="I6" s="82">
        <f t="shared" ref="I6:I15" si="2">IFERROR(F6*K6/H6,0)</f>
        <v>0</v>
      </c>
      <c r="J6" s="83">
        <f t="shared" ref="J6:J13" si="3">IFERROR(G6*K6/H6, 0)</f>
        <v>0</v>
      </c>
      <c r="K6" s="84">
        <v>0.15</v>
      </c>
      <c r="L6" s="22" t="s">
        <v>258</v>
      </c>
    </row>
    <row r="7" spans="2:12" x14ac:dyDescent="0.5">
      <c r="B7" s="18" t="s">
        <v>259</v>
      </c>
      <c r="C7" s="85">
        <f>'Overview 2016 (in)'!J72</f>
        <v>0</v>
      </c>
      <c r="D7" s="23">
        <f>'Overview 2016 (in)'!K72</f>
        <v>0</v>
      </c>
      <c r="E7" s="107">
        <f>'Overview 2016 (in)'!L72</f>
        <v>0</v>
      </c>
      <c r="F7" s="85">
        <f t="shared" ca="1" si="0"/>
        <v>0</v>
      </c>
      <c r="G7" s="23">
        <f t="shared" ca="1" si="1"/>
        <v>0</v>
      </c>
      <c r="H7" s="107">
        <f ca="1">INDIRECT(ADDRESS(ROW($B6),COLUMN(E$4),1,,$B$4))</f>
        <v>0</v>
      </c>
      <c r="I7" s="85">
        <f t="shared" ca="1" si="2"/>
        <v>0</v>
      </c>
      <c r="J7" s="23">
        <f t="shared" ca="1" si="3"/>
        <v>0</v>
      </c>
      <c r="K7" s="107">
        <f ca="1">INDIRECT(ADDRESS(ROW($B6),COLUMN($F4),1,,$B$4))</f>
        <v>0</v>
      </c>
      <c r="L7" s="21" t="s">
        <v>105</v>
      </c>
    </row>
    <row r="8" spans="2:12" x14ac:dyDescent="0.5">
      <c r="B8" s="3" t="s">
        <v>260</v>
      </c>
      <c r="C8" s="86">
        <f>'Overview 2016 (in)'!J73</f>
        <v>25</v>
      </c>
      <c r="D8" s="87">
        <f>'Overview 2016 (in)'!K73</f>
        <v>19</v>
      </c>
      <c r="E8" s="109">
        <f>'Overview 2016 (in)'!L73</f>
        <v>20</v>
      </c>
      <c r="F8" s="86">
        <f t="shared" ca="1" si="0"/>
        <v>33.75</v>
      </c>
      <c r="G8" s="87">
        <f t="shared" ca="1" si="1"/>
        <v>25.65</v>
      </c>
      <c r="H8" s="109">
        <f ca="1">INDIRECT(ADDRESS(ROW($B7),COLUMN(E$4),1,,$B$4))</f>
        <v>27</v>
      </c>
      <c r="I8" s="86">
        <f t="shared" ca="1" si="2"/>
        <v>37.5</v>
      </c>
      <c r="J8" s="87">
        <f t="shared" ca="1" si="3"/>
        <v>28.5</v>
      </c>
      <c r="K8" s="109">
        <f ca="1">INDIRECT(ADDRESS(ROW($B7),COLUMN($F4),1,,$B$4))</f>
        <v>30</v>
      </c>
      <c r="L8" s="22" t="s">
        <v>64</v>
      </c>
    </row>
    <row r="9" spans="2:12" x14ac:dyDescent="0.5">
      <c r="B9" s="18" t="s">
        <v>81</v>
      </c>
      <c r="C9" s="85">
        <f>'Overview 2016 (in)'!J74</f>
        <v>0</v>
      </c>
      <c r="D9" s="23">
        <f>'Overview 2016 (in)'!K74</f>
        <v>0</v>
      </c>
      <c r="E9" s="24">
        <f>'Overview 2016 (in)'!L74</f>
        <v>0</v>
      </c>
      <c r="F9" s="85">
        <f t="shared" si="0"/>
        <v>0</v>
      </c>
      <c r="G9" s="23">
        <f t="shared" si="1"/>
        <v>0</v>
      </c>
      <c r="H9" s="24">
        <v>90</v>
      </c>
      <c r="I9" s="85">
        <f t="shared" si="2"/>
        <v>0</v>
      </c>
      <c r="J9" s="23">
        <f t="shared" si="3"/>
        <v>0</v>
      </c>
      <c r="K9" s="24">
        <v>90</v>
      </c>
      <c r="L9" s="21" t="s">
        <v>66</v>
      </c>
    </row>
    <row r="10" spans="2:12" x14ac:dyDescent="0.5">
      <c r="B10" s="3" t="s">
        <v>65</v>
      </c>
      <c r="C10" s="82">
        <f>'Overview 2016 (in)'!J75</f>
        <v>98</v>
      </c>
      <c r="D10" s="83">
        <f>'Overview 2016 (in)'!K75</f>
        <v>98</v>
      </c>
      <c r="E10" s="112">
        <f>'Overview 2016 (in)'!L75</f>
        <v>98</v>
      </c>
      <c r="F10" s="82">
        <f t="shared" ca="1" si="0"/>
        <v>98</v>
      </c>
      <c r="G10" s="83">
        <f t="shared" ca="1" si="1"/>
        <v>98</v>
      </c>
      <c r="H10" s="112">
        <f ca="1">INDIRECT(ADDRESS(ROW($B8),COLUMN(E$4),1,,$B$4))</f>
        <v>98</v>
      </c>
      <c r="I10" s="82">
        <f t="shared" ca="1" si="2"/>
        <v>98</v>
      </c>
      <c r="J10" s="83">
        <f t="shared" ca="1" si="3"/>
        <v>98</v>
      </c>
      <c r="K10" s="112">
        <f ca="1">INDIRECT(ADDRESS(ROW($B8),COLUMN($F4),1,,$B$4))</f>
        <v>98</v>
      </c>
      <c r="L10" s="22" t="s">
        <v>66</v>
      </c>
    </row>
    <row r="11" spans="2:12" x14ac:dyDescent="0.5">
      <c r="B11" s="18" t="s">
        <v>137</v>
      </c>
      <c r="C11" s="81">
        <f>'Overview 2016 (in)'!J76</f>
        <v>0</v>
      </c>
      <c r="D11" s="19">
        <f>'Overview 2016 (in)'!K76</f>
        <v>0</v>
      </c>
      <c r="E11" s="20">
        <f>'Overview 2016 (in)'!L76</f>
        <v>0</v>
      </c>
      <c r="F11" s="81">
        <f t="shared" si="0"/>
        <v>0</v>
      </c>
      <c r="G11" s="19">
        <f t="shared" si="1"/>
        <v>0</v>
      </c>
      <c r="H11" s="20">
        <v>0.01</v>
      </c>
      <c r="I11" s="81">
        <f t="shared" si="2"/>
        <v>0</v>
      </c>
      <c r="J11" s="19">
        <f t="shared" si="3"/>
        <v>0</v>
      </c>
      <c r="K11" s="20">
        <v>0.01</v>
      </c>
      <c r="L11" s="21" t="s">
        <v>261</v>
      </c>
    </row>
    <row r="12" spans="2:12" x14ac:dyDescent="0.5">
      <c r="B12" s="28" t="s">
        <v>262</v>
      </c>
      <c r="C12" s="82" t="str">
        <f>'Overview 2016 (in)'!J77</f>
        <v>-</v>
      </c>
      <c r="D12" s="83" t="str">
        <f>'Overview 2016 (in)'!K77</f>
        <v>-</v>
      </c>
      <c r="E12" s="84">
        <f>'Overview 2016 (in)'!L77</f>
        <v>0.02</v>
      </c>
      <c r="F12" s="82">
        <f t="shared" si="0"/>
        <v>0</v>
      </c>
      <c r="G12" s="83">
        <f t="shared" si="1"/>
        <v>0</v>
      </c>
      <c r="H12" s="84">
        <v>30</v>
      </c>
      <c r="I12" s="82">
        <f t="shared" si="2"/>
        <v>0</v>
      </c>
      <c r="J12" s="83">
        <f t="shared" si="3"/>
        <v>0</v>
      </c>
      <c r="K12" s="84">
        <v>30</v>
      </c>
      <c r="L12" s="88" t="s">
        <v>265</v>
      </c>
    </row>
    <row r="13" spans="2:12" x14ac:dyDescent="0.5">
      <c r="B13" s="89" t="s">
        <v>266</v>
      </c>
      <c r="C13" s="90">
        <f>'Overview 2016 (in)'!J78</f>
        <v>0</v>
      </c>
      <c r="D13" s="25">
        <f>'Overview 2016 (in)'!K78</f>
        <v>0</v>
      </c>
      <c r="E13" s="26">
        <f>'Overview 2016 (in)'!L78</f>
        <v>0</v>
      </c>
      <c r="F13" s="90">
        <f t="shared" si="0"/>
        <v>0</v>
      </c>
      <c r="G13" s="25">
        <f t="shared" si="1"/>
        <v>0</v>
      </c>
      <c r="H13" s="26">
        <v>15</v>
      </c>
      <c r="I13" s="90">
        <f t="shared" si="2"/>
        <v>0</v>
      </c>
      <c r="J13" s="25">
        <f t="shared" si="3"/>
        <v>0</v>
      </c>
      <c r="K13" s="26">
        <v>15</v>
      </c>
      <c r="L13" s="21" t="s">
        <v>64</v>
      </c>
    </row>
    <row r="14" spans="2:12" x14ac:dyDescent="0.5">
      <c r="B14" s="28" t="s">
        <v>267</v>
      </c>
      <c r="C14" s="86">
        <f>'Overview 2016 (in)'!J79</f>
        <v>0</v>
      </c>
      <c r="D14" s="87">
        <f>'Overview 2016 (in)'!K79</f>
        <v>0</v>
      </c>
      <c r="E14" s="108">
        <f>'Overview 2016 (in)'!L79</f>
        <v>0</v>
      </c>
      <c r="F14" s="86">
        <f t="shared" ca="1" si="0"/>
        <v>0</v>
      </c>
      <c r="G14" s="87">
        <f t="shared" ca="1" si="1"/>
        <v>0</v>
      </c>
      <c r="H14" s="108">
        <f ca="1">IF(CELL("format",INDIRECT(ADDRESS(ROW($B4),COLUMN(E$4),1,,$B$4)))="W0-",INDIRECT(ADDRESS(ROW($B4),COLUMN(E$4),1,,$B$4))*'Overview 2016 (in)'!$O$7,INDIRECT(ADDRESS(ROW($B4),COLUMN(E$4),1,,$B$4)))</f>
        <v>0</v>
      </c>
      <c r="I14" s="86">
        <f t="shared" ca="1" si="2"/>
        <v>0</v>
      </c>
      <c r="J14" s="87">
        <f t="shared" ref="J14:J15" ca="1" si="4">IFERROR(G14*K14/H14,0)</f>
        <v>0</v>
      </c>
      <c r="K14" s="108">
        <f ca="1">IF(CELL("format",INDIRECT(ADDRESS(ROW($B4),COLUMN($F4),1,,$B$4)))="W0-",INDIRECT(ADDRESS(ROW($B4),COLUMN($F4),1,,$B$4))*'Overview 2016 (in)'!$O$7,INDIRECT(ADDRESS(ROW($B4),COLUMN($F4),1,,$B$4)))</f>
        <v>0</v>
      </c>
      <c r="L14" s="88" t="s">
        <v>268</v>
      </c>
    </row>
    <row r="15" spans="2:12" ht="14.7" thickBot="1" x14ac:dyDescent="0.55000000000000004">
      <c r="B15" s="91" t="s">
        <v>269</v>
      </c>
      <c r="C15" s="100">
        <f>'Overview 2016 (in)'!J80</f>
        <v>73.5</v>
      </c>
      <c r="D15" s="100">
        <f>'Overview 2016 (in)'!K80</f>
        <v>189</v>
      </c>
      <c r="E15" s="110">
        <f>'Overview 2016 (in)'!L80</f>
        <v>105</v>
      </c>
      <c r="F15" s="100">
        <f t="shared" ca="1" si="0"/>
        <v>49</v>
      </c>
      <c r="G15" s="100">
        <f t="shared" ca="1" si="1"/>
        <v>126</v>
      </c>
      <c r="H15" s="110">
        <f ca="1">IF(CELL("format",INDIRECT(ADDRESS(ROW($B5),COLUMN(E$4),1,,$B$4)))="W0-",INDIRECT(ADDRESS(ROW($B5),COLUMN(E$4),1,,$B$4))*'Overview 2016 (in)'!$O$7,INDIRECT(ADDRESS(ROW($B5),COLUMN(E$4),1,,$B$4)))</f>
        <v>70</v>
      </c>
      <c r="I15" s="100">
        <f t="shared" ca="1" si="2"/>
        <v>38.5</v>
      </c>
      <c r="J15" s="100">
        <f t="shared" ca="1" si="4"/>
        <v>99</v>
      </c>
      <c r="K15" s="110">
        <f ca="1">IF(CELL("format",INDIRECT(ADDRESS(ROW($B5),COLUMN($F4),1,,$B$4)))="W0-",INDIRECT(ADDRESS(ROW($B5),COLUMN($F4),1,,$B$4))*'Overview 2016 (in)'!$O$7,INDIRECT(ADDRESS(ROW($B5),COLUMN($F4),1,,$B$4)))</f>
        <v>55</v>
      </c>
      <c r="L15" s="27" t="s">
        <v>61</v>
      </c>
    </row>
    <row r="17" spans="2:3" x14ac:dyDescent="0.5">
      <c r="C17" s="111"/>
    </row>
    <row r="18" spans="2:3" ht="18" x14ac:dyDescent="0.6">
      <c r="B18" s="1"/>
    </row>
  </sheetData>
  <mergeCells count="3">
    <mergeCell ref="C3:E3"/>
    <mergeCell ref="F3:H3"/>
    <mergeCell ref="I3:K3"/>
  </mergeCells>
  <pageMargins left="0.7" right="0.7" top="0.78740157499999996" bottom="0.78740157499999996"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Tabelle44"/>
  <dimension ref="B3:L18"/>
  <sheetViews>
    <sheetView workbookViewId="0"/>
  </sheetViews>
  <sheetFormatPr defaultColWidth="11.46875" defaultRowHeight="14.35" x14ac:dyDescent="0.5"/>
  <cols>
    <col min="2" max="2" width="27.64453125" bestFit="1" customWidth="1"/>
    <col min="12" max="12" width="20.17578125" bestFit="1" customWidth="1"/>
  </cols>
  <sheetData>
    <row r="3" spans="2:12" x14ac:dyDescent="0.5">
      <c r="C3" s="425">
        <v>2016</v>
      </c>
      <c r="D3" s="425"/>
      <c r="E3" s="425"/>
      <c r="F3" s="426">
        <v>2025</v>
      </c>
      <c r="G3" s="426"/>
      <c r="H3" s="426"/>
      <c r="I3" s="426">
        <v>2030</v>
      </c>
      <c r="J3" s="426"/>
      <c r="K3" s="426"/>
      <c r="L3" s="105"/>
    </row>
    <row r="4" spans="2:12" ht="18.350000000000001" thickBot="1" x14ac:dyDescent="0.65">
      <c r="B4" s="104" t="s">
        <v>589</v>
      </c>
      <c r="C4" s="106" t="s">
        <v>56</v>
      </c>
      <c r="D4" s="106" t="s">
        <v>57</v>
      </c>
      <c r="E4" s="106" t="s">
        <v>58</v>
      </c>
      <c r="F4" s="106" t="s">
        <v>56</v>
      </c>
      <c r="G4" s="106" t="s">
        <v>57</v>
      </c>
      <c r="H4" s="106" t="s">
        <v>58</v>
      </c>
      <c r="I4" s="106" t="s">
        <v>56</v>
      </c>
      <c r="J4" s="106" t="s">
        <v>57</v>
      </c>
      <c r="K4" s="106" t="s">
        <v>58</v>
      </c>
      <c r="L4" s="106" t="s">
        <v>59</v>
      </c>
    </row>
    <row r="5" spans="2:12" x14ac:dyDescent="0.5">
      <c r="B5" s="18" t="s">
        <v>255</v>
      </c>
      <c r="C5" s="81">
        <v>0</v>
      </c>
      <c r="D5" s="19">
        <v>0</v>
      </c>
      <c r="E5" s="20">
        <v>0</v>
      </c>
      <c r="F5" s="81">
        <v>0</v>
      </c>
      <c r="G5" s="19">
        <v>0</v>
      </c>
      <c r="H5" s="20">
        <v>0</v>
      </c>
      <c r="I5" s="81">
        <v>0</v>
      </c>
      <c r="J5" s="19">
        <v>0</v>
      </c>
      <c r="K5" s="20">
        <v>0</v>
      </c>
      <c r="L5" s="21" t="s">
        <v>256</v>
      </c>
    </row>
    <row r="6" spans="2:12" x14ac:dyDescent="0.5">
      <c r="B6" s="3" t="s">
        <v>257</v>
      </c>
      <c r="C6" s="82">
        <v>0</v>
      </c>
      <c r="D6" s="83">
        <v>0</v>
      </c>
      <c r="E6" s="84">
        <v>0</v>
      </c>
      <c r="F6" s="82">
        <v>0</v>
      </c>
      <c r="G6" s="83">
        <v>0</v>
      </c>
      <c r="H6" s="84">
        <v>0</v>
      </c>
      <c r="I6" s="82">
        <v>0</v>
      </c>
      <c r="J6" s="83">
        <v>0</v>
      </c>
      <c r="K6" s="84">
        <v>0</v>
      </c>
      <c r="L6" s="22" t="s">
        <v>258</v>
      </c>
    </row>
    <row r="7" spans="2:12" x14ac:dyDescent="0.5">
      <c r="B7" s="18" t="s">
        <v>259</v>
      </c>
      <c r="C7" s="85">
        <v>0</v>
      </c>
      <c r="D7" s="23">
        <v>0</v>
      </c>
      <c r="E7" s="107">
        <v>0</v>
      </c>
      <c r="F7" s="85">
        <v>0</v>
      </c>
      <c r="G7" s="23">
        <v>0</v>
      </c>
      <c r="H7" s="107">
        <v>0</v>
      </c>
      <c r="I7" s="85">
        <v>0</v>
      </c>
      <c r="J7" s="23">
        <v>0</v>
      </c>
      <c r="K7" s="107">
        <v>0</v>
      </c>
      <c r="L7" s="21" t="s">
        <v>105</v>
      </c>
    </row>
    <row r="8" spans="2:12" x14ac:dyDescent="0.5">
      <c r="B8" s="3" t="s">
        <v>260</v>
      </c>
      <c r="C8" s="86">
        <v>0</v>
      </c>
      <c r="D8" s="87">
        <v>0</v>
      </c>
      <c r="E8" s="109">
        <v>0</v>
      </c>
      <c r="F8" s="86">
        <v>0</v>
      </c>
      <c r="G8" s="87">
        <v>0</v>
      </c>
      <c r="H8" s="109">
        <v>0</v>
      </c>
      <c r="I8" s="86">
        <v>0</v>
      </c>
      <c r="J8" s="87">
        <v>0</v>
      </c>
      <c r="K8" s="109">
        <v>0</v>
      </c>
      <c r="L8" s="22" t="s">
        <v>64</v>
      </c>
    </row>
    <row r="9" spans="2:12" x14ac:dyDescent="0.5">
      <c r="B9" s="18" t="s">
        <v>81</v>
      </c>
      <c r="C9" s="85">
        <v>0</v>
      </c>
      <c r="D9" s="23">
        <v>0</v>
      </c>
      <c r="E9" s="24">
        <v>0</v>
      </c>
      <c r="F9" s="85">
        <v>0</v>
      </c>
      <c r="G9" s="23">
        <v>0</v>
      </c>
      <c r="H9" s="24">
        <v>0</v>
      </c>
      <c r="I9" s="85">
        <v>0</v>
      </c>
      <c r="J9" s="23">
        <v>0</v>
      </c>
      <c r="K9" s="24">
        <v>0</v>
      </c>
      <c r="L9" s="21" t="s">
        <v>66</v>
      </c>
    </row>
    <row r="10" spans="2:12" x14ac:dyDescent="0.5">
      <c r="B10" s="3" t="s">
        <v>65</v>
      </c>
      <c r="C10" s="86">
        <v>100</v>
      </c>
      <c r="D10" s="87">
        <v>100</v>
      </c>
      <c r="E10" s="109">
        <v>100</v>
      </c>
      <c r="F10" s="86">
        <v>100</v>
      </c>
      <c r="G10" s="87">
        <v>100</v>
      </c>
      <c r="H10" s="109">
        <v>100</v>
      </c>
      <c r="I10" s="86">
        <v>100</v>
      </c>
      <c r="J10" s="87">
        <v>100</v>
      </c>
      <c r="K10" s="109">
        <v>100</v>
      </c>
      <c r="L10" s="22" t="s">
        <v>66</v>
      </c>
    </row>
    <row r="11" spans="2:12" x14ac:dyDescent="0.5">
      <c r="B11" s="18" t="s">
        <v>137</v>
      </c>
      <c r="C11" s="81">
        <v>0</v>
      </c>
      <c r="D11" s="19">
        <v>0</v>
      </c>
      <c r="E11" s="20">
        <v>0</v>
      </c>
      <c r="F11" s="81">
        <v>0</v>
      </c>
      <c r="G11" s="19">
        <v>0</v>
      </c>
      <c r="H11" s="20">
        <v>0</v>
      </c>
      <c r="I11" s="81">
        <v>0</v>
      </c>
      <c r="J11" s="19">
        <v>0</v>
      </c>
      <c r="K11" s="20">
        <v>0</v>
      </c>
      <c r="L11" s="21" t="s">
        <v>261</v>
      </c>
    </row>
    <row r="12" spans="2:12" x14ac:dyDescent="0.5">
      <c r="B12" s="28" t="s">
        <v>262</v>
      </c>
      <c r="C12" s="82">
        <v>0</v>
      </c>
      <c r="D12" s="83">
        <v>0</v>
      </c>
      <c r="E12" s="84">
        <v>0</v>
      </c>
      <c r="F12" s="82">
        <v>0</v>
      </c>
      <c r="G12" s="83">
        <v>0</v>
      </c>
      <c r="H12" s="84">
        <v>0</v>
      </c>
      <c r="I12" s="82">
        <v>0</v>
      </c>
      <c r="J12" s="83">
        <v>0</v>
      </c>
      <c r="K12" s="84">
        <v>0</v>
      </c>
      <c r="L12" s="88" t="s">
        <v>265</v>
      </c>
    </row>
    <row r="13" spans="2:12" x14ac:dyDescent="0.5">
      <c r="B13" s="89" t="s">
        <v>266</v>
      </c>
      <c r="C13" s="90">
        <v>0</v>
      </c>
      <c r="D13" s="25">
        <v>0</v>
      </c>
      <c r="E13" s="26">
        <v>0</v>
      </c>
      <c r="F13" s="90">
        <v>0</v>
      </c>
      <c r="G13" s="25">
        <v>0</v>
      </c>
      <c r="H13" s="26">
        <v>0</v>
      </c>
      <c r="I13" s="90">
        <v>0</v>
      </c>
      <c r="J13" s="25">
        <v>0</v>
      </c>
      <c r="K13" s="26">
        <v>0</v>
      </c>
      <c r="L13" s="21" t="s">
        <v>64</v>
      </c>
    </row>
    <row r="14" spans="2:12" x14ac:dyDescent="0.5">
      <c r="B14" s="28" t="s">
        <v>267</v>
      </c>
      <c r="C14" s="86">
        <v>0</v>
      </c>
      <c r="D14" s="87">
        <v>0</v>
      </c>
      <c r="E14" s="108">
        <v>0</v>
      </c>
      <c r="F14" s="86">
        <v>0</v>
      </c>
      <c r="G14" s="87">
        <v>0</v>
      </c>
      <c r="H14" s="108">
        <v>0</v>
      </c>
      <c r="I14" s="86">
        <v>0</v>
      </c>
      <c r="J14" s="87">
        <v>0</v>
      </c>
      <c r="K14" s="108">
        <v>0</v>
      </c>
      <c r="L14" s="88" t="s">
        <v>268</v>
      </c>
    </row>
    <row r="15" spans="2:12" ht="14.7" thickBot="1" x14ac:dyDescent="0.55000000000000004">
      <c r="B15" s="91" t="s">
        <v>269</v>
      </c>
      <c r="C15" s="100">
        <v>0</v>
      </c>
      <c r="D15" s="100">
        <v>0</v>
      </c>
      <c r="E15" s="110">
        <v>0</v>
      </c>
      <c r="F15" s="100">
        <v>0</v>
      </c>
      <c r="G15" s="100">
        <v>0</v>
      </c>
      <c r="H15" s="110">
        <v>0</v>
      </c>
      <c r="I15" s="100">
        <v>0</v>
      </c>
      <c r="J15" s="100">
        <v>0</v>
      </c>
      <c r="K15" s="110">
        <v>0</v>
      </c>
      <c r="L15" s="27" t="s">
        <v>61</v>
      </c>
    </row>
    <row r="17" spans="2:3" x14ac:dyDescent="0.5">
      <c r="C17" s="111"/>
    </row>
    <row r="18" spans="2:3" ht="18" x14ac:dyDescent="0.6">
      <c r="B18" s="1"/>
    </row>
  </sheetData>
  <mergeCells count="3">
    <mergeCell ref="C3:E3"/>
    <mergeCell ref="F3:H3"/>
    <mergeCell ref="I3:K3"/>
  </mergeCells>
  <pageMargins left="0.7" right="0.7" top="0.78740157499999996" bottom="0.78740157499999996"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Tabelle45"/>
  <dimension ref="B3:L18"/>
  <sheetViews>
    <sheetView workbookViewId="0"/>
  </sheetViews>
  <sheetFormatPr defaultColWidth="11.46875" defaultRowHeight="14.35" x14ac:dyDescent="0.5"/>
  <cols>
    <col min="2" max="2" width="27.64453125" bestFit="1" customWidth="1"/>
    <col min="12" max="12" width="20.17578125" bestFit="1" customWidth="1"/>
  </cols>
  <sheetData>
    <row r="3" spans="2:12" x14ac:dyDescent="0.5">
      <c r="C3" s="425">
        <v>2016</v>
      </c>
      <c r="D3" s="425"/>
      <c r="E3" s="425"/>
      <c r="F3" s="426">
        <v>2025</v>
      </c>
      <c r="G3" s="426"/>
      <c r="H3" s="426"/>
      <c r="I3" s="426">
        <v>2030</v>
      </c>
      <c r="J3" s="426"/>
      <c r="K3" s="426"/>
      <c r="L3" s="105"/>
    </row>
    <row r="4" spans="2:12" ht="18.350000000000001" thickBot="1" x14ac:dyDescent="0.65">
      <c r="B4" s="104" t="s">
        <v>232</v>
      </c>
      <c r="C4" s="106" t="s">
        <v>56</v>
      </c>
      <c r="D4" s="106" t="s">
        <v>57</v>
      </c>
      <c r="E4" s="106" t="s">
        <v>58</v>
      </c>
      <c r="F4" s="106" t="s">
        <v>56</v>
      </c>
      <c r="G4" s="106" t="s">
        <v>57</v>
      </c>
      <c r="H4" s="106" t="s">
        <v>58</v>
      </c>
      <c r="I4" s="106" t="s">
        <v>56</v>
      </c>
      <c r="J4" s="106" t="s">
        <v>57</v>
      </c>
      <c r="K4" s="106" t="s">
        <v>58</v>
      </c>
      <c r="L4" s="106" t="s">
        <v>59</v>
      </c>
    </row>
    <row r="5" spans="2:12" x14ac:dyDescent="0.5">
      <c r="B5" s="18" t="s">
        <v>255</v>
      </c>
      <c r="C5" s="81">
        <v>0</v>
      </c>
      <c r="D5" s="19">
        <v>0</v>
      </c>
      <c r="E5" s="20">
        <v>0</v>
      </c>
      <c r="F5" s="81">
        <v>0</v>
      </c>
      <c r="G5" s="19">
        <v>0</v>
      </c>
      <c r="H5" s="20">
        <v>0</v>
      </c>
      <c r="I5" s="81">
        <v>0</v>
      </c>
      <c r="J5" s="19">
        <v>0</v>
      </c>
      <c r="K5" s="20">
        <v>0</v>
      </c>
      <c r="L5" s="21" t="s">
        <v>256</v>
      </c>
    </row>
    <row r="6" spans="2:12" x14ac:dyDescent="0.5">
      <c r="B6" s="3" t="s">
        <v>257</v>
      </c>
      <c r="C6" s="82">
        <v>0</v>
      </c>
      <c r="D6" s="83">
        <v>0</v>
      </c>
      <c r="E6" s="84">
        <v>0</v>
      </c>
      <c r="F6" s="82">
        <v>0</v>
      </c>
      <c r="G6" s="83">
        <v>0</v>
      </c>
      <c r="H6" s="84">
        <v>0</v>
      </c>
      <c r="I6" s="82">
        <v>0</v>
      </c>
      <c r="J6" s="83">
        <v>0</v>
      </c>
      <c r="K6" s="84">
        <v>0</v>
      </c>
      <c r="L6" s="22" t="s">
        <v>258</v>
      </c>
    </row>
    <row r="7" spans="2:12" x14ac:dyDescent="0.5">
      <c r="B7" s="18" t="s">
        <v>259</v>
      </c>
      <c r="C7" s="85">
        <v>0</v>
      </c>
      <c r="D7" s="23">
        <v>0</v>
      </c>
      <c r="E7" s="107">
        <v>0</v>
      </c>
      <c r="F7" s="85">
        <v>0</v>
      </c>
      <c r="G7" s="23">
        <v>0</v>
      </c>
      <c r="H7" s="107">
        <v>0</v>
      </c>
      <c r="I7" s="85">
        <v>0</v>
      </c>
      <c r="J7" s="23">
        <v>0</v>
      </c>
      <c r="K7" s="107">
        <v>0</v>
      </c>
      <c r="L7" s="21" t="s">
        <v>105</v>
      </c>
    </row>
    <row r="8" spans="2:12" x14ac:dyDescent="0.5">
      <c r="B8" s="3" t="s">
        <v>260</v>
      </c>
      <c r="C8" s="82">
        <v>80</v>
      </c>
      <c r="D8" s="83">
        <v>40</v>
      </c>
      <c r="E8" s="84">
        <v>50</v>
      </c>
      <c r="F8" s="82">
        <v>80</v>
      </c>
      <c r="G8" s="83">
        <v>40</v>
      </c>
      <c r="H8" s="84">
        <v>50</v>
      </c>
      <c r="I8" s="82">
        <v>80</v>
      </c>
      <c r="J8" s="83">
        <v>40</v>
      </c>
      <c r="K8" s="84">
        <v>50</v>
      </c>
      <c r="L8" s="22" t="s">
        <v>64</v>
      </c>
    </row>
    <row r="9" spans="2:12" x14ac:dyDescent="0.5">
      <c r="B9" s="18" t="s">
        <v>81</v>
      </c>
      <c r="C9" s="85">
        <v>0</v>
      </c>
      <c r="D9" s="23">
        <v>0</v>
      </c>
      <c r="E9" s="107">
        <v>0</v>
      </c>
      <c r="F9" s="85">
        <v>0</v>
      </c>
      <c r="G9" s="23">
        <v>0</v>
      </c>
      <c r="H9" s="24">
        <v>0</v>
      </c>
      <c r="I9" s="85">
        <v>0</v>
      </c>
      <c r="J9" s="23">
        <v>0</v>
      </c>
      <c r="K9" s="24">
        <v>0</v>
      </c>
      <c r="L9" s="21" t="s">
        <v>66</v>
      </c>
    </row>
    <row r="10" spans="2:12" x14ac:dyDescent="0.5">
      <c r="B10" s="3" t="s">
        <v>65</v>
      </c>
      <c r="C10" s="82">
        <v>100</v>
      </c>
      <c r="D10" s="83">
        <v>100</v>
      </c>
      <c r="E10" s="84">
        <v>100</v>
      </c>
      <c r="F10" s="82">
        <v>100</v>
      </c>
      <c r="G10" s="83">
        <v>100</v>
      </c>
      <c r="H10" s="84">
        <v>100</v>
      </c>
      <c r="I10" s="82">
        <v>100</v>
      </c>
      <c r="J10" s="83">
        <v>100</v>
      </c>
      <c r="K10" s="84">
        <v>100</v>
      </c>
      <c r="L10" s="22" t="s">
        <v>66</v>
      </c>
    </row>
    <row r="11" spans="2:12" x14ac:dyDescent="0.5">
      <c r="B11" s="18" t="s">
        <v>137</v>
      </c>
      <c r="C11" s="81">
        <v>0</v>
      </c>
      <c r="D11" s="19">
        <v>0</v>
      </c>
      <c r="E11" s="20">
        <v>0</v>
      </c>
      <c r="F11" s="81">
        <v>0</v>
      </c>
      <c r="G11" s="19">
        <v>0</v>
      </c>
      <c r="H11" s="20">
        <v>0</v>
      </c>
      <c r="I11" s="81">
        <v>0</v>
      </c>
      <c r="J11" s="19">
        <v>0</v>
      </c>
      <c r="K11" s="20">
        <v>0</v>
      </c>
      <c r="L11" s="21" t="s">
        <v>261</v>
      </c>
    </row>
    <row r="12" spans="2:12" x14ac:dyDescent="0.5">
      <c r="B12" s="28" t="s">
        <v>262</v>
      </c>
      <c r="C12" s="82">
        <v>0</v>
      </c>
      <c r="D12" s="83">
        <v>0</v>
      </c>
      <c r="E12" s="84">
        <v>0</v>
      </c>
      <c r="F12" s="82">
        <v>0</v>
      </c>
      <c r="G12" s="83">
        <v>0</v>
      </c>
      <c r="H12" s="84">
        <v>0</v>
      </c>
      <c r="I12" s="82">
        <v>0</v>
      </c>
      <c r="J12" s="83">
        <v>0</v>
      </c>
      <c r="K12" s="84">
        <v>0</v>
      </c>
      <c r="L12" s="88" t="s">
        <v>265</v>
      </c>
    </row>
    <row r="13" spans="2:12" x14ac:dyDescent="0.5">
      <c r="B13" s="89" t="s">
        <v>266</v>
      </c>
      <c r="C13" s="90">
        <v>0</v>
      </c>
      <c r="D13" s="25">
        <v>0</v>
      </c>
      <c r="E13" s="26">
        <v>0</v>
      </c>
      <c r="F13" s="90">
        <v>0</v>
      </c>
      <c r="G13" s="25">
        <v>0</v>
      </c>
      <c r="H13" s="26">
        <v>0</v>
      </c>
      <c r="I13" s="90">
        <v>0</v>
      </c>
      <c r="J13" s="25">
        <v>0</v>
      </c>
      <c r="K13" s="26">
        <v>0</v>
      </c>
      <c r="L13" s="21" t="s">
        <v>64</v>
      </c>
    </row>
    <row r="14" spans="2:12" x14ac:dyDescent="0.5">
      <c r="B14" s="28" t="s">
        <v>267</v>
      </c>
      <c r="C14" s="82">
        <v>0</v>
      </c>
      <c r="D14" s="83">
        <v>0</v>
      </c>
      <c r="E14" s="116">
        <v>0</v>
      </c>
      <c r="F14" s="82">
        <v>0</v>
      </c>
      <c r="G14" s="83">
        <v>0</v>
      </c>
      <c r="H14" s="116">
        <v>0</v>
      </c>
      <c r="I14" s="82">
        <v>0</v>
      </c>
      <c r="J14" s="83">
        <v>0</v>
      </c>
      <c r="K14" s="116">
        <v>0</v>
      </c>
      <c r="L14" s="88" t="s">
        <v>268</v>
      </c>
    </row>
    <row r="15" spans="2:12" ht="14.7" thickBot="1" x14ac:dyDescent="0.55000000000000004">
      <c r="B15" s="91" t="s">
        <v>269</v>
      </c>
      <c r="C15" s="117">
        <f ca="1">'Cost-of-Service'!C15</f>
        <v>0</v>
      </c>
      <c r="D15" s="117">
        <f ca="1">'Cost-of-Service'!D15</f>
        <v>0</v>
      </c>
      <c r="E15" s="118">
        <f ca="1">'Cost-of-Service'!E15</f>
        <v>0</v>
      </c>
      <c r="F15" s="117">
        <f ca="1">'Cost-of-Service'!F15</f>
        <v>0</v>
      </c>
      <c r="G15" s="117">
        <f ca="1">'Cost-of-Service'!G15</f>
        <v>0</v>
      </c>
      <c r="H15" s="118">
        <f ca="1">'Cost-of-Service'!H15</f>
        <v>0</v>
      </c>
      <c r="I15" s="117">
        <f ca="1">'Cost-of-Service'!I15</f>
        <v>0</v>
      </c>
      <c r="J15" s="117">
        <f ca="1">'Cost-of-Service'!J15</f>
        <v>0</v>
      </c>
      <c r="K15" s="117">
        <f ca="1">'Cost-of-Service'!K15</f>
        <v>0</v>
      </c>
      <c r="L15" s="27" t="s">
        <v>61</v>
      </c>
    </row>
    <row r="17" spans="2:6" x14ac:dyDescent="0.5">
      <c r="C17" s="111"/>
      <c r="F17" s="111" t="s">
        <v>590</v>
      </c>
    </row>
    <row r="18" spans="2:6" ht="18" x14ac:dyDescent="0.6">
      <c r="B18" s="1"/>
    </row>
  </sheetData>
  <mergeCells count="3">
    <mergeCell ref="C3:E3"/>
    <mergeCell ref="F3:H3"/>
    <mergeCell ref="I3:K3"/>
  </mergeCells>
  <pageMargins left="0.7" right="0.7" top="0.78740157499999996" bottom="0.78740157499999996"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Tabelle46"/>
  <dimension ref="B3:L18"/>
  <sheetViews>
    <sheetView workbookViewId="0"/>
  </sheetViews>
  <sheetFormatPr defaultColWidth="11.46875" defaultRowHeight="14.35" x14ac:dyDescent="0.5"/>
  <cols>
    <col min="2" max="2" width="27.64453125" bestFit="1" customWidth="1"/>
    <col min="12" max="12" width="20.17578125" bestFit="1" customWidth="1"/>
  </cols>
  <sheetData>
    <row r="3" spans="2:12" x14ac:dyDescent="0.5">
      <c r="C3" s="425">
        <v>2016</v>
      </c>
      <c r="D3" s="425"/>
      <c r="E3" s="425"/>
      <c r="F3" s="426">
        <v>2025</v>
      </c>
      <c r="G3" s="426"/>
      <c r="H3" s="426"/>
      <c r="I3" s="426">
        <v>2030</v>
      </c>
      <c r="J3" s="426"/>
      <c r="K3" s="426"/>
      <c r="L3" s="105"/>
    </row>
    <row r="4" spans="2:12" ht="18.350000000000001" thickBot="1" x14ac:dyDescent="0.65">
      <c r="B4" s="104" t="s">
        <v>233</v>
      </c>
      <c r="C4" s="106" t="s">
        <v>56</v>
      </c>
      <c r="D4" s="106" t="s">
        <v>57</v>
      </c>
      <c r="E4" s="106" t="s">
        <v>58</v>
      </c>
      <c r="F4" s="106" t="s">
        <v>56</v>
      </c>
      <c r="G4" s="106" t="s">
        <v>57</v>
      </c>
      <c r="H4" s="106" t="s">
        <v>58</v>
      </c>
      <c r="I4" s="106" t="s">
        <v>56</v>
      </c>
      <c r="J4" s="106" t="s">
        <v>57</v>
      </c>
      <c r="K4" s="106" t="s">
        <v>58</v>
      </c>
      <c r="L4" s="106" t="s">
        <v>59</v>
      </c>
    </row>
    <row r="5" spans="2:12" x14ac:dyDescent="0.5">
      <c r="B5" s="18" t="s">
        <v>255</v>
      </c>
      <c r="C5" s="81">
        <v>0</v>
      </c>
      <c r="D5" s="19">
        <v>0</v>
      </c>
      <c r="E5" s="20">
        <v>0</v>
      </c>
      <c r="F5" s="81">
        <v>0</v>
      </c>
      <c r="G5" s="19">
        <v>0</v>
      </c>
      <c r="H5" s="20">
        <v>0</v>
      </c>
      <c r="I5" s="81">
        <v>0</v>
      </c>
      <c r="J5" s="19">
        <v>0</v>
      </c>
      <c r="K5" s="20">
        <v>0</v>
      </c>
      <c r="L5" s="21" t="s">
        <v>256</v>
      </c>
    </row>
    <row r="6" spans="2:12" x14ac:dyDescent="0.5">
      <c r="B6" s="3" t="s">
        <v>257</v>
      </c>
      <c r="C6" s="82">
        <v>0</v>
      </c>
      <c r="D6" s="83">
        <v>0</v>
      </c>
      <c r="E6" s="84">
        <v>0</v>
      </c>
      <c r="F6" s="82">
        <v>0</v>
      </c>
      <c r="G6" s="83">
        <v>0</v>
      </c>
      <c r="H6" s="84">
        <v>0</v>
      </c>
      <c r="I6" s="82">
        <v>0</v>
      </c>
      <c r="J6" s="83">
        <v>0</v>
      </c>
      <c r="K6" s="84">
        <v>0</v>
      </c>
      <c r="L6" s="22" t="s">
        <v>258</v>
      </c>
    </row>
    <row r="7" spans="2:12" x14ac:dyDescent="0.5">
      <c r="B7" s="18" t="s">
        <v>259</v>
      </c>
      <c r="C7" s="85">
        <v>0</v>
      </c>
      <c r="D7" s="23">
        <v>0</v>
      </c>
      <c r="E7" s="107">
        <v>0</v>
      </c>
      <c r="F7" s="85">
        <v>0</v>
      </c>
      <c r="G7" s="23">
        <v>0</v>
      </c>
      <c r="H7" s="107">
        <v>0</v>
      </c>
      <c r="I7" s="85">
        <v>0</v>
      </c>
      <c r="J7" s="23">
        <v>0</v>
      </c>
      <c r="K7" s="107">
        <v>0</v>
      </c>
      <c r="L7" s="21" t="s">
        <v>105</v>
      </c>
    </row>
    <row r="8" spans="2:12" x14ac:dyDescent="0.5">
      <c r="B8" s="3" t="s">
        <v>260</v>
      </c>
      <c r="C8" s="82">
        <v>80</v>
      </c>
      <c r="D8" s="83">
        <v>40</v>
      </c>
      <c r="E8" s="84">
        <v>50</v>
      </c>
      <c r="F8" s="82">
        <v>80</v>
      </c>
      <c r="G8" s="83">
        <v>40</v>
      </c>
      <c r="H8" s="84">
        <v>50</v>
      </c>
      <c r="I8" s="82">
        <v>80</v>
      </c>
      <c r="J8" s="83">
        <v>40</v>
      </c>
      <c r="K8" s="84">
        <v>50</v>
      </c>
      <c r="L8" s="22" t="s">
        <v>64</v>
      </c>
    </row>
    <row r="9" spans="2:12" x14ac:dyDescent="0.5">
      <c r="B9" s="18" t="s">
        <v>81</v>
      </c>
      <c r="C9" s="85">
        <v>0</v>
      </c>
      <c r="D9" s="23">
        <v>0</v>
      </c>
      <c r="E9" s="107">
        <v>0</v>
      </c>
      <c r="F9" s="85">
        <v>0</v>
      </c>
      <c r="G9" s="23">
        <v>0</v>
      </c>
      <c r="H9" s="24">
        <v>0</v>
      </c>
      <c r="I9" s="85">
        <v>0</v>
      </c>
      <c r="J9" s="23">
        <v>0</v>
      </c>
      <c r="K9" s="24">
        <v>0</v>
      </c>
      <c r="L9" s="21" t="s">
        <v>66</v>
      </c>
    </row>
    <row r="10" spans="2:12" x14ac:dyDescent="0.5">
      <c r="B10" s="3" t="s">
        <v>65</v>
      </c>
      <c r="C10" s="82">
        <v>100</v>
      </c>
      <c r="D10" s="83">
        <v>100</v>
      </c>
      <c r="E10" s="84">
        <v>100</v>
      </c>
      <c r="F10" s="82">
        <v>100</v>
      </c>
      <c r="G10" s="83">
        <v>100</v>
      </c>
      <c r="H10" s="84">
        <v>100</v>
      </c>
      <c r="I10" s="82">
        <v>100</v>
      </c>
      <c r="J10" s="83">
        <v>100</v>
      </c>
      <c r="K10" s="84">
        <v>100</v>
      </c>
      <c r="L10" s="22" t="s">
        <v>66</v>
      </c>
    </row>
    <row r="11" spans="2:12" x14ac:dyDescent="0.5">
      <c r="B11" s="18" t="s">
        <v>137</v>
      </c>
      <c r="C11" s="81">
        <v>0</v>
      </c>
      <c r="D11" s="19">
        <v>0</v>
      </c>
      <c r="E11" s="20">
        <v>0</v>
      </c>
      <c r="F11" s="81">
        <v>0</v>
      </c>
      <c r="G11" s="19">
        <v>0</v>
      </c>
      <c r="H11" s="20">
        <v>0</v>
      </c>
      <c r="I11" s="81">
        <v>0</v>
      </c>
      <c r="J11" s="19">
        <v>0</v>
      </c>
      <c r="K11" s="20">
        <v>0</v>
      </c>
      <c r="L11" s="21" t="s">
        <v>261</v>
      </c>
    </row>
    <row r="12" spans="2:12" x14ac:dyDescent="0.5">
      <c r="B12" s="28" t="s">
        <v>262</v>
      </c>
      <c r="C12" s="82">
        <v>0</v>
      </c>
      <c r="D12" s="83">
        <v>0</v>
      </c>
      <c r="E12" s="84">
        <v>0</v>
      </c>
      <c r="F12" s="82">
        <v>0</v>
      </c>
      <c r="G12" s="83">
        <v>0</v>
      </c>
      <c r="H12" s="84">
        <v>0</v>
      </c>
      <c r="I12" s="82">
        <v>0</v>
      </c>
      <c r="J12" s="83">
        <v>0</v>
      </c>
      <c r="K12" s="84">
        <v>0</v>
      </c>
      <c r="L12" s="88" t="s">
        <v>265</v>
      </c>
    </row>
    <row r="13" spans="2:12" x14ac:dyDescent="0.5">
      <c r="B13" s="89" t="s">
        <v>266</v>
      </c>
      <c r="C13" s="90">
        <v>0</v>
      </c>
      <c r="D13" s="25">
        <v>0</v>
      </c>
      <c r="E13" s="26">
        <v>0</v>
      </c>
      <c r="F13" s="90">
        <v>0</v>
      </c>
      <c r="G13" s="25">
        <v>0</v>
      </c>
      <c r="H13" s="26">
        <v>0</v>
      </c>
      <c r="I13" s="90">
        <v>0</v>
      </c>
      <c r="J13" s="25">
        <v>0</v>
      </c>
      <c r="K13" s="26">
        <v>0</v>
      </c>
      <c r="L13" s="21" t="s">
        <v>64</v>
      </c>
    </row>
    <row r="14" spans="2:12" x14ac:dyDescent="0.5">
      <c r="B14" s="28" t="s">
        <v>267</v>
      </c>
      <c r="C14" s="82">
        <v>0</v>
      </c>
      <c r="D14" s="83">
        <v>0</v>
      </c>
      <c r="E14" s="116">
        <v>0</v>
      </c>
      <c r="F14" s="82">
        <v>0</v>
      </c>
      <c r="G14" s="83">
        <v>0</v>
      </c>
      <c r="H14" s="116">
        <v>0</v>
      </c>
      <c r="I14" s="82">
        <v>0</v>
      </c>
      <c r="J14" s="83">
        <v>0</v>
      </c>
      <c r="K14" s="116">
        <v>0</v>
      </c>
      <c r="L14" s="88" t="s">
        <v>268</v>
      </c>
    </row>
    <row r="15" spans="2:12" ht="14.7" thickBot="1" x14ac:dyDescent="0.55000000000000004">
      <c r="B15" s="91" t="s">
        <v>269</v>
      </c>
      <c r="C15" s="117">
        <f>'Overview 2016 (in)'!G16</f>
        <v>400</v>
      </c>
      <c r="D15" s="117">
        <f>'Overview 2016 (in)'!H16</f>
        <v>1050</v>
      </c>
      <c r="E15" s="118">
        <f>'Overview 2016 (in)'!I16</f>
        <v>735</v>
      </c>
      <c r="F15" s="117">
        <f ca="1">'Cost-of-Service'!F15</f>
        <v>0</v>
      </c>
      <c r="G15" s="117">
        <f ca="1">'Cost-of-Service'!G15</f>
        <v>0</v>
      </c>
      <c r="H15" s="118">
        <f ca="1">'Cost-of-Service'!H15</f>
        <v>0</v>
      </c>
      <c r="I15" s="117">
        <f ca="1">'Cost-of-Service'!I15</f>
        <v>0</v>
      </c>
      <c r="J15" s="117">
        <f ca="1">'Cost-of-Service'!J15</f>
        <v>0</v>
      </c>
      <c r="K15" s="117">
        <f ca="1">'Cost-of-Service'!K15</f>
        <v>0</v>
      </c>
      <c r="L15" s="27" t="s">
        <v>61</v>
      </c>
    </row>
    <row r="17" spans="2:6" x14ac:dyDescent="0.5">
      <c r="C17" s="111"/>
      <c r="F17" s="111" t="s">
        <v>590</v>
      </c>
    </row>
    <row r="18" spans="2:6" ht="18" x14ac:dyDescent="0.6">
      <c r="B18" s="1"/>
    </row>
  </sheetData>
  <mergeCells count="3">
    <mergeCell ref="C3:E3"/>
    <mergeCell ref="F3:H3"/>
    <mergeCell ref="I3:K3"/>
  </mergeCells>
  <pageMargins left="0.7" right="0.7" top="0.78740157499999996" bottom="0.78740157499999996"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Tabelle47"/>
  <dimension ref="B3:L18"/>
  <sheetViews>
    <sheetView workbookViewId="0"/>
  </sheetViews>
  <sheetFormatPr defaultColWidth="11.46875" defaultRowHeight="14.35" x14ac:dyDescent="0.5"/>
  <cols>
    <col min="2" max="2" width="27.64453125" bestFit="1" customWidth="1"/>
    <col min="12" max="12" width="20.17578125" bestFit="1" customWidth="1"/>
  </cols>
  <sheetData>
    <row r="3" spans="2:12" x14ac:dyDescent="0.5">
      <c r="C3" s="425">
        <v>2016</v>
      </c>
      <c r="D3" s="425"/>
      <c r="E3" s="425"/>
      <c r="F3" s="426">
        <v>2025</v>
      </c>
      <c r="G3" s="426"/>
      <c r="H3" s="426"/>
      <c r="I3" s="426">
        <v>2030</v>
      </c>
      <c r="J3" s="426"/>
      <c r="K3" s="426"/>
      <c r="L3" s="105"/>
    </row>
    <row r="4" spans="2:12" ht="18.350000000000001" thickBot="1" x14ac:dyDescent="0.65">
      <c r="B4" s="104" t="s">
        <v>234</v>
      </c>
      <c r="C4" s="106" t="s">
        <v>56</v>
      </c>
      <c r="D4" s="106" t="s">
        <v>57</v>
      </c>
      <c r="E4" s="106" t="s">
        <v>58</v>
      </c>
      <c r="F4" s="106" t="s">
        <v>56</v>
      </c>
      <c r="G4" s="106" t="s">
        <v>57</v>
      </c>
      <c r="H4" s="106" t="s">
        <v>58</v>
      </c>
      <c r="I4" s="106" t="s">
        <v>56</v>
      </c>
      <c r="J4" s="106" t="s">
        <v>57</v>
      </c>
      <c r="K4" s="106" t="s">
        <v>58</v>
      </c>
      <c r="L4" s="106" t="s">
        <v>59</v>
      </c>
    </row>
    <row r="5" spans="2:12" x14ac:dyDescent="0.5">
      <c r="B5" s="18" t="s">
        <v>255</v>
      </c>
      <c r="C5" s="81">
        <v>0</v>
      </c>
      <c r="D5" s="19">
        <v>0</v>
      </c>
      <c r="E5" s="20">
        <v>0</v>
      </c>
      <c r="F5" s="81">
        <v>0</v>
      </c>
      <c r="G5" s="19">
        <v>0</v>
      </c>
      <c r="H5" s="20">
        <v>0</v>
      </c>
      <c r="I5" s="81">
        <v>0</v>
      </c>
      <c r="J5" s="19">
        <v>0</v>
      </c>
      <c r="K5" s="20">
        <v>0</v>
      </c>
      <c r="L5" s="21" t="s">
        <v>256</v>
      </c>
    </row>
    <row r="6" spans="2:12" x14ac:dyDescent="0.5">
      <c r="B6" s="3" t="s">
        <v>257</v>
      </c>
      <c r="C6" s="82">
        <v>0</v>
      </c>
      <c r="D6" s="83">
        <v>0</v>
      </c>
      <c r="E6" s="84">
        <v>0</v>
      </c>
      <c r="F6" s="82">
        <v>0</v>
      </c>
      <c r="G6" s="83">
        <v>0</v>
      </c>
      <c r="H6" s="84">
        <v>0</v>
      </c>
      <c r="I6" s="82">
        <v>0</v>
      </c>
      <c r="J6" s="83">
        <v>0</v>
      </c>
      <c r="K6" s="84">
        <v>0</v>
      </c>
      <c r="L6" s="22" t="s">
        <v>258</v>
      </c>
    </row>
    <row r="7" spans="2:12" x14ac:dyDescent="0.5">
      <c r="B7" s="18" t="s">
        <v>259</v>
      </c>
      <c r="C7" s="85">
        <v>0</v>
      </c>
      <c r="D7" s="23">
        <v>0</v>
      </c>
      <c r="E7" s="107">
        <v>0</v>
      </c>
      <c r="F7" s="85">
        <v>0</v>
      </c>
      <c r="G7" s="23">
        <v>0</v>
      </c>
      <c r="H7" s="107">
        <v>0</v>
      </c>
      <c r="I7" s="85">
        <v>0</v>
      </c>
      <c r="J7" s="23">
        <v>0</v>
      </c>
      <c r="K7" s="107">
        <v>0</v>
      </c>
      <c r="L7" s="21" t="s">
        <v>105</v>
      </c>
    </row>
    <row r="8" spans="2:12" x14ac:dyDescent="0.5">
      <c r="B8" s="3" t="s">
        <v>260</v>
      </c>
      <c r="C8" s="86">
        <f>'Overview 2016 (in)'!J9</f>
        <v>25</v>
      </c>
      <c r="D8" s="87">
        <f>'Overview 2016 (in)'!K9</f>
        <v>15</v>
      </c>
      <c r="E8" s="109">
        <f>'Overview 2016 (in)'!L9</f>
        <v>20</v>
      </c>
      <c r="F8" s="82">
        <v>80</v>
      </c>
      <c r="G8" s="83">
        <v>40</v>
      </c>
      <c r="H8" s="84">
        <v>50</v>
      </c>
      <c r="I8" s="82">
        <v>80</v>
      </c>
      <c r="J8" s="83">
        <v>40</v>
      </c>
      <c r="K8" s="84">
        <v>50</v>
      </c>
      <c r="L8" s="22" t="s">
        <v>64</v>
      </c>
    </row>
    <row r="9" spans="2:12" x14ac:dyDescent="0.5">
      <c r="B9" s="18" t="s">
        <v>81</v>
      </c>
      <c r="C9" s="85">
        <v>0</v>
      </c>
      <c r="D9" s="23">
        <v>0</v>
      </c>
      <c r="E9" s="107">
        <v>0</v>
      </c>
      <c r="F9" s="85">
        <v>0</v>
      </c>
      <c r="G9" s="23">
        <v>0</v>
      </c>
      <c r="H9" s="24">
        <v>0</v>
      </c>
      <c r="I9" s="85">
        <v>0</v>
      </c>
      <c r="J9" s="23">
        <v>0</v>
      </c>
      <c r="K9" s="24">
        <v>0</v>
      </c>
      <c r="L9" s="21" t="s">
        <v>66</v>
      </c>
    </row>
    <row r="10" spans="2:12" x14ac:dyDescent="0.5">
      <c r="B10" s="3" t="s">
        <v>65</v>
      </c>
      <c r="C10" s="82">
        <v>100</v>
      </c>
      <c r="D10" s="83">
        <v>100</v>
      </c>
      <c r="E10" s="84">
        <v>100</v>
      </c>
      <c r="F10" s="82">
        <v>100</v>
      </c>
      <c r="G10" s="83">
        <v>100</v>
      </c>
      <c r="H10" s="84">
        <v>100</v>
      </c>
      <c r="I10" s="82">
        <v>100</v>
      </c>
      <c r="J10" s="83">
        <v>100</v>
      </c>
      <c r="K10" s="84">
        <v>100</v>
      </c>
      <c r="L10" s="22" t="s">
        <v>66</v>
      </c>
    </row>
    <row r="11" spans="2:12" x14ac:dyDescent="0.5">
      <c r="B11" s="18" t="s">
        <v>137</v>
      </c>
      <c r="C11" s="81">
        <v>0</v>
      </c>
      <c r="D11" s="19">
        <v>0</v>
      </c>
      <c r="E11" s="20">
        <v>0</v>
      </c>
      <c r="F11" s="81">
        <v>0</v>
      </c>
      <c r="G11" s="19">
        <v>0</v>
      </c>
      <c r="H11" s="20">
        <v>0</v>
      </c>
      <c r="I11" s="81">
        <v>0</v>
      </c>
      <c r="J11" s="19">
        <v>0</v>
      </c>
      <c r="K11" s="20">
        <v>0</v>
      </c>
      <c r="L11" s="21" t="s">
        <v>261</v>
      </c>
    </row>
    <row r="12" spans="2:12" x14ac:dyDescent="0.5">
      <c r="B12" s="28" t="s">
        <v>262</v>
      </c>
      <c r="C12" s="82">
        <v>0</v>
      </c>
      <c r="D12" s="83">
        <v>0</v>
      </c>
      <c r="E12" s="84">
        <v>0</v>
      </c>
      <c r="F12" s="82">
        <v>0</v>
      </c>
      <c r="G12" s="83">
        <v>0</v>
      </c>
      <c r="H12" s="84">
        <v>0</v>
      </c>
      <c r="I12" s="82">
        <v>0</v>
      </c>
      <c r="J12" s="83">
        <v>0</v>
      </c>
      <c r="K12" s="84">
        <v>0</v>
      </c>
      <c r="L12" s="88" t="s">
        <v>265</v>
      </c>
    </row>
    <row r="13" spans="2:12" x14ac:dyDescent="0.5">
      <c r="B13" s="89" t="s">
        <v>266</v>
      </c>
      <c r="C13" s="90">
        <v>0</v>
      </c>
      <c r="D13" s="25">
        <v>0</v>
      </c>
      <c r="E13" s="26">
        <v>0</v>
      </c>
      <c r="F13" s="90">
        <v>0</v>
      </c>
      <c r="G13" s="25">
        <v>0</v>
      </c>
      <c r="H13" s="26">
        <v>0</v>
      </c>
      <c r="I13" s="90">
        <v>0</v>
      </c>
      <c r="J13" s="25">
        <v>0</v>
      </c>
      <c r="K13" s="26">
        <v>0</v>
      </c>
      <c r="L13" s="21" t="s">
        <v>64</v>
      </c>
    </row>
    <row r="14" spans="2:12" x14ac:dyDescent="0.5">
      <c r="B14" s="28" t="s">
        <v>267</v>
      </c>
      <c r="C14" s="82">
        <v>0</v>
      </c>
      <c r="D14" s="83">
        <v>0</v>
      </c>
      <c r="E14" s="116">
        <v>0</v>
      </c>
      <c r="F14" s="82">
        <v>0</v>
      </c>
      <c r="G14" s="83">
        <v>0</v>
      </c>
      <c r="H14" s="116">
        <v>0</v>
      </c>
      <c r="I14" s="82">
        <v>0</v>
      </c>
      <c r="J14" s="83">
        <v>0</v>
      </c>
      <c r="K14" s="116">
        <v>0</v>
      </c>
      <c r="L14" s="88" t="s">
        <v>268</v>
      </c>
    </row>
    <row r="15" spans="2:12" ht="14.7" thickBot="1" x14ac:dyDescent="0.55000000000000004">
      <c r="B15" s="91" t="s">
        <v>269</v>
      </c>
      <c r="C15" s="117">
        <f ca="1">'Cost-of-Service'!C15</f>
        <v>0</v>
      </c>
      <c r="D15" s="117">
        <f ca="1">'Cost-of-Service'!D15</f>
        <v>0</v>
      </c>
      <c r="E15" s="118">
        <f ca="1">'Cost-of-Service'!E15</f>
        <v>0</v>
      </c>
      <c r="F15" s="117">
        <f ca="1">'Cost-of-Service'!F15</f>
        <v>0</v>
      </c>
      <c r="G15" s="117">
        <f ca="1">'Cost-of-Service'!G15</f>
        <v>0</v>
      </c>
      <c r="H15" s="118">
        <f ca="1">'Cost-of-Service'!H15</f>
        <v>0</v>
      </c>
      <c r="I15" s="117">
        <f ca="1">'Cost-of-Service'!I15</f>
        <v>0</v>
      </c>
      <c r="J15" s="117">
        <f ca="1">'Cost-of-Service'!J15</f>
        <v>0</v>
      </c>
      <c r="K15" s="117">
        <f ca="1">'Cost-of-Service'!K15</f>
        <v>0</v>
      </c>
      <c r="L15" s="27" t="s">
        <v>61</v>
      </c>
    </row>
    <row r="17" spans="2:6" x14ac:dyDescent="0.5">
      <c r="C17" s="111"/>
      <c r="F17" s="111" t="s">
        <v>590</v>
      </c>
    </row>
    <row r="18" spans="2:6" ht="18" x14ac:dyDescent="0.6">
      <c r="B18" s="1"/>
    </row>
  </sheetData>
  <mergeCells count="3">
    <mergeCell ref="C3:E3"/>
    <mergeCell ref="F3:H3"/>
    <mergeCell ref="I3:K3"/>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G16"/>
  <sheetViews>
    <sheetView workbookViewId="0">
      <selection activeCell="D13" sqref="D13"/>
    </sheetView>
  </sheetViews>
  <sheetFormatPr defaultColWidth="11.46875" defaultRowHeight="14.35" x14ac:dyDescent="0.5"/>
  <cols>
    <col min="1" max="1" width="13.17578125" bestFit="1" customWidth="1"/>
    <col min="2" max="2" width="46.46875" bestFit="1" customWidth="1"/>
    <col min="3" max="3" width="19.29296875" bestFit="1" customWidth="1"/>
    <col min="4" max="4" width="18.46875" bestFit="1" customWidth="1"/>
    <col min="5" max="5" width="9.17578125" bestFit="1" customWidth="1"/>
    <col min="6" max="6" width="22.46875" bestFit="1" customWidth="1"/>
    <col min="7" max="7" width="61.64453125" bestFit="1" customWidth="1"/>
  </cols>
  <sheetData>
    <row r="1" spans="1:7" x14ac:dyDescent="0.5">
      <c r="E1" s="335"/>
      <c r="F1" s="335"/>
      <c r="G1" s="335"/>
    </row>
    <row r="2" spans="1:7" x14ac:dyDescent="0.5">
      <c r="A2" s="335"/>
      <c r="B2" s="336"/>
      <c r="C2" s="183" t="s">
        <v>160</v>
      </c>
      <c r="D2" s="183" t="s">
        <v>160</v>
      </c>
      <c r="E2" s="183" t="s">
        <v>161</v>
      </c>
      <c r="F2" s="183" t="s">
        <v>162</v>
      </c>
      <c r="G2" s="337"/>
    </row>
    <row r="3" spans="1:7" ht="14.7" thickBot="1" x14ac:dyDescent="0.55000000000000004">
      <c r="A3" s="335"/>
      <c r="B3" s="176"/>
      <c r="C3" s="177" t="s">
        <v>60</v>
      </c>
      <c r="D3" s="177" t="s">
        <v>62</v>
      </c>
      <c r="E3" s="177" t="s">
        <v>63</v>
      </c>
      <c r="F3" s="177" t="s">
        <v>65</v>
      </c>
      <c r="G3" s="178" t="s">
        <v>163</v>
      </c>
    </row>
    <row r="4" spans="1:7" x14ac:dyDescent="0.5">
      <c r="A4" s="335"/>
      <c r="B4" s="180" t="s">
        <v>55</v>
      </c>
      <c r="C4" s="335">
        <v>100</v>
      </c>
      <c r="D4" s="335">
        <v>0</v>
      </c>
      <c r="E4" s="335">
        <v>50</v>
      </c>
      <c r="F4" s="335">
        <v>100</v>
      </c>
      <c r="G4" s="184" t="s">
        <v>164</v>
      </c>
    </row>
    <row r="5" spans="1:7" x14ac:dyDescent="0.5">
      <c r="A5" s="335"/>
      <c r="B5" s="180" t="s">
        <v>165</v>
      </c>
      <c r="C5" s="335">
        <v>30</v>
      </c>
      <c r="D5" s="335">
        <v>0</v>
      </c>
      <c r="E5" s="335">
        <v>50</v>
      </c>
      <c r="F5" s="335">
        <v>100</v>
      </c>
      <c r="G5" s="184" t="s">
        <v>164</v>
      </c>
    </row>
    <row r="6" spans="1:7" x14ac:dyDescent="0.5">
      <c r="A6" s="335"/>
      <c r="B6" s="180" t="s">
        <v>166</v>
      </c>
      <c r="C6" s="335">
        <v>30</v>
      </c>
      <c r="D6" s="335">
        <v>35</v>
      </c>
      <c r="E6" s="335">
        <v>50</v>
      </c>
      <c r="F6" s="335">
        <v>96</v>
      </c>
      <c r="G6" s="184" t="s">
        <v>164</v>
      </c>
    </row>
    <row r="7" spans="1:7" x14ac:dyDescent="0.5">
      <c r="A7" s="335"/>
      <c r="B7" s="180" t="s">
        <v>167</v>
      </c>
      <c r="C7" s="335">
        <v>15</v>
      </c>
      <c r="D7" s="335">
        <v>15</v>
      </c>
      <c r="E7" s="335">
        <v>50</v>
      </c>
      <c r="F7" s="335">
        <v>96</v>
      </c>
      <c r="G7" s="184" t="s">
        <v>164</v>
      </c>
    </row>
    <row r="8" spans="1:7" x14ac:dyDescent="0.5">
      <c r="A8" s="335"/>
      <c r="B8" s="180" t="s">
        <v>168</v>
      </c>
      <c r="C8" s="335">
        <v>15</v>
      </c>
      <c r="D8" s="335">
        <v>61</v>
      </c>
      <c r="E8" s="335">
        <v>50</v>
      </c>
      <c r="F8" s="335">
        <v>95</v>
      </c>
      <c r="G8" s="184" t="s">
        <v>164</v>
      </c>
    </row>
    <row r="9" spans="1:7" x14ac:dyDescent="0.5">
      <c r="A9" s="335"/>
      <c r="B9" s="180" t="s">
        <v>169</v>
      </c>
      <c r="C9" s="335">
        <v>0</v>
      </c>
      <c r="D9" s="335">
        <v>0</v>
      </c>
      <c r="E9" s="335">
        <v>0</v>
      </c>
      <c r="F9" s="335">
        <v>100</v>
      </c>
      <c r="G9" s="184"/>
    </row>
    <row r="10" spans="1:7" x14ac:dyDescent="0.5">
      <c r="A10" s="335"/>
      <c r="B10" s="180"/>
      <c r="C10" s="335"/>
      <c r="D10" s="335"/>
      <c r="E10" s="335"/>
      <c r="F10" s="335"/>
      <c r="G10" s="128"/>
    </row>
    <row r="11" spans="1:7" x14ac:dyDescent="0.5">
      <c r="A11" s="335"/>
      <c r="B11" s="180"/>
      <c r="C11" s="335"/>
      <c r="D11" s="335"/>
      <c r="E11" s="335"/>
      <c r="F11" s="335"/>
      <c r="G11" s="128"/>
    </row>
    <row r="12" spans="1:7" x14ac:dyDescent="0.5">
      <c r="A12" s="335"/>
      <c r="B12" s="180"/>
      <c r="C12" s="335"/>
      <c r="D12" s="335"/>
      <c r="E12" s="335"/>
      <c r="F12" s="335"/>
      <c r="G12" s="128"/>
    </row>
    <row r="13" spans="1:7" x14ac:dyDescent="0.5">
      <c r="A13" s="335"/>
      <c r="B13" s="180"/>
      <c r="C13" s="335"/>
      <c r="D13" s="335"/>
      <c r="E13" s="335"/>
      <c r="F13" s="335"/>
      <c r="G13" s="128"/>
    </row>
    <row r="14" spans="1:7" x14ac:dyDescent="0.5">
      <c r="A14" s="335"/>
      <c r="B14" s="179" t="s">
        <v>170</v>
      </c>
      <c r="C14" s="335"/>
      <c r="D14" s="335"/>
      <c r="E14" s="335"/>
      <c r="F14" s="335"/>
      <c r="G14" s="128"/>
    </row>
    <row r="15" spans="1:7" x14ac:dyDescent="0.5">
      <c r="A15" s="335"/>
      <c r="B15" s="338"/>
      <c r="C15" s="335"/>
      <c r="D15" s="335"/>
      <c r="E15" s="335"/>
      <c r="F15" s="335"/>
      <c r="G15" s="128"/>
    </row>
    <row r="16" spans="1:7" x14ac:dyDescent="0.5">
      <c r="A16" s="335"/>
      <c r="B16" s="339"/>
      <c r="C16" s="340"/>
      <c r="D16" s="340"/>
      <c r="E16" s="340"/>
      <c r="F16" s="340"/>
      <c r="G16" s="341"/>
    </row>
  </sheetData>
  <pageMargins left="0.7" right="0.7" top="0.78740157499999996" bottom="0.78740157499999996"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1EC36-D15C-402B-89FA-81D916902089}">
  <dimension ref="B3:L23"/>
  <sheetViews>
    <sheetView workbookViewId="0"/>
  </sheetViews>
  <sheetFormatPr defaultColWidth="11.46875" defaultRowHeight="14.35" x14ac:dyDescent="0.5"/>
  <cols>
    <col min="2" max="2" width="27.64453125" bestFit="1" customWidth="1"/>
    <col min="12" max="12" width="20.17578125" bestFit="1" customWidth="1"/>
  </cols>
  <sheetData>
    <row r="3" spans="2:12" x14ac:dyDescent="0.5">
      <c r="C3" s="425" t="s">
        <v>591</v>
      </c>
      <c r="D3" s="425"/>
      <c r="E3" s="425"/>
      <c r="F3" s="426">
        <v>2025</v>
      </c>
      <c r="G3" s="426"/>
      <c r="H3" s="426"/>
      <c r="I3" s="426">
        <v>2030</v>
      </c>
      <c r="J3" s="426"/>
      <c r="K3" s="426"/>
      <c r="L3" s="105"/>
    </row>
    <row r="4" spans="2:12" ht="18.350000000000001" thickBot="1" x14ac:dyDescent="0.65">
      <c r="B4" s="104" t="s">
        <v>235</v>
      </c>
      <c r="C4" s="106" t="s">
        <v>56</v>
      </c>
      <c r="D4" s="106" t="s">
        <v>57</v>
      </c>
      <c r="E4" s="106" t="s">
        <v>58</v>
      </c>
      <c r="F4" s="106" t="s">
        <v>56</v>
      </c>
      <c r="G4" s="106" t="s">
        <v>57</v>
      </c>
      <c r="H4" s="106" t="s">
        <v>58</v>
      </c>
      <c r="I4" s="106" t="s">
        <v>56</v>
      </c>
      <c r="J4" s="106" t="s">
        <v>57</v>
      </c>
      <c r="K4" s="106" t="s">
        <v>58</v>
      </c>
      <c r="L4" s="106" t="s">
        <v>59</v>
      </c>
    </row>
    <row r="5" spans="2:12" x14ac:dyDescent="0.5">
      <c r="B5" s="18" t="s">
        <v>255</v>
      </c>
      <c r="C5" s="81">
        <v>0</v>
      </c>
      <c r="D5" s="19">
        <v>0</v>
      </c>
      <c r="E5" s="20">
        <v>0</v>
      </c>
      <c r="F5" s="81">
        <v>0</v>
      </c>
      <c r="G5" s="19">
        <v>0</v>
      </c>
      <c r="H5" s="20">
        <v>0</v>
      </c>
      <c r="I5" s="81">
        <v>0</v>
      </c>
      <c r="J5" s="19">
        <v>0</v>
      </c>
      <c r="K5" s="20">
        <v>0</v>
      </c>
      <c r="L5" s="21" t="s">
        <v>256</v>
      </c>
    </row>
    <row r="6" spans="2:12" x14ac:dyDescent="0.5">
      <c r="B6" s="3" t="s">
        <v>257</v>
      </c>
      <c r="C6" s="82">
        <v>0</v>
      </c>
      <c r="D6" s="83">
        <v>0</v>
      </c>
      <c r="E6" s="84">
        <v>0</v>
      </c>
      <c r="F6" s="82">
        <v>0</v>
      </c>
      <c r="G6" s="83">
        <v>0</v>
      </c>
      <c r="H6" s="84">
        <v>0</v>
      </c>
      <c r="I6" s="82">
        <v>0</v>
      </c>
      <c r="J6" s="83">
        <v>0</v>
      </c>
      <c r="K6" s="84">
        <v>0</v>
      </c>
      <c r="L6" s="22" t="s">
        <v>258</v>
      </c>
    </row>
    <row r="7" spans="2:12" x14ac:dyDescent="0.5">
      <c r="B7" s="18" t="s">
        <v>259</v>
      </c>
      <c r="C7" s="85">
        <v>0</v>
      </c>
      <c r="D7" s="23">
        <v>0</v>
      </c>
      <c r="E7" s="107">
        <v>0</v>
      </c>
      <c r="F7" s="85">
        <v>0</v>
      </c>
      <c r="G7" s="23">
        <v>0</v>
      </c>
      <c r="H7" s="107">
        <v>0</v>
      </c>
      <c r="I7" s="85">
        <v>0</v>
      </c>
      <c r="J7" s="23">
        <v>0</v>
      </c>
      <c r="K7" s="107">
        <v>0</v>
      </c>
      <c r="L7" s="21" t="s">
        <v>105</v>
      </c>
    </row>
    <row r="8" spans="2:12" x14ac:dyDescent="0.5">
      <c r="B8" s="3" t="s">
        <v>260</v>
      </c>
      <c r="C8" s="86">
        <v>0</v>
      </c>
      <c r="D8" s="87">
        <v>0</v>
      </c>
      <c r="E8" s="109">
        <v>0</v>
      </c>
      <c r="F8" s="86">
        <v>40</v>
      </c>
      <c r="G8" s="87">
        <v>30</v>
      </c>
      <c r="H8" s="109">
        <v>35</v>
      </c>
      <c r="I8" s="86">
        <v>40</v>
      </c>
      <c r="J8" s="87">
        <v>30</v>
      </c>
      <c r="K8" s="109">
        <v>35</v>
      </c>
      <c r="L8" s="22" t="s">
        <v>64</v>
      </c>
    </row>
    <row r="9" spans="2:12" x14ac:dyDescent="0.5">
      <c r="B9" s="18" t="s">
        <v>81</v>
      </c>
      <c r="C9" s="85">
        <v>0</v>
      </c>
      <c r="D9" s="23">
        <v>0</v>
      </c>
      <c r="E9" s="107">
        <v>0</v>
      </c>
      <c r="F9" s="85">
        <v>0</v>
      </c>
      <c r="G9" s="23">
        <v>0</v>
      </c>
      <c r="H9" s="24">
        <v>0</v>
      </c>
      <c r="I9" s="85">
        <v>0</v>
      </c>
      <c r="J9" s="23">
        <v>0</v>
      </c>
      <c r="K9" s="24">
        <v>0</v>
      </c>
      <c r="L9" s="21" t="s">
        <v>66</v>
      </c>
    </row>
    <row r="10" spans="2:12" x14ac:dyDescent="0.5">
      <c r="B10" s="3" t="s">
        <v>65</v>
      </c>
      <c r="C10" s="82">
        <v>0</v>
      </c>
      <c r="D10" s="83">
        <v>0</v>
      </c>
      <c r="E10" s="84">
        <v>0</v>
      </c>
      <c r="F10" s="82">
        <v>99</v>
      </c>
      <c r="G10" s="83">
        <v>97</v>
      </c>
      <c r="H10" s="84">
        <v>98</v>
      </c>
      <c r="I10" s="82">
        <v>99</v>
      </c>
      <c r="J10" s="83">
        <v>97</v>
      </c>
      <c r="K10" s="84">
        <v>98</v>
      </c>
      <c r="L10" s="22" t="s">
        <v>66</v>
      </c>
    </row>
    <row r="11" spans="2:12" x14ac:dyDescent="0.5">
      <c r="B11" s="18" t="s">
        <v>137</v>
      </c>
      <c r="C11" s="81">
        <v>0</v>
      </c>
      <c r="D11" s="19">
        <v>0</v>
      </c>
      <c r="E11" s="20">
        <v>0</v>
      </c>
      <c r="F11" s="81">
        <v>0</v>
      </c>
      <c r="G11" s="19">
        <v>0</v>
      </c>
      <c r="H11" s="20">
        <v>0</v>
      </c>
      <c r="I11" s="81">
        <v>0</v>
      </c>
      <c r="J11" s="19">
        <v>0</v>
      </c>
      <c r="K11" s="20">
        <v>0</v>
      </c>
      <c r="L11" s="21" t="s">
        <v>261</v>
      </c>
    </row>
    <row r="12" spans="2:12" x14ac:dyDescent="0.5">
      <c r="B12" s="28" t="s">
        <v>262</v>
      </c>
      <c r="C12" s="82">
        <v>0</v>
      </c>
      <c r="D12" s="83">
        <v>0</v>
      </c>
      <c r="E12" s="84">
        <v>0</v>
      </c>
      <c r="F12" s="82">
        <v>0</v>
      </c>
      <c r="G12" s="83">
        <v>0</v>
      </c>
      <c r="H12" s="84">
        <v>0</v>
      </c>
      <c r="I12" s="82">
        <v>0</v>
      </c>
      <c r="J12" s="83">
        <v>0</v>
      </c>
      <c r="K12" s="84">
        <v>0</v>
      </c>
      <c r="L12" s="88" t="s">
        <v>265</v>
      </c>
    </row>
    <row r="13" spans="2:12" x14ac:dyDescent="0.5">
      <c r="B13" s="89" t="s">
        <v>266</v>
      </c>
      <c r="C13" s="90">
        <v>0</v>
      </c>
      <c r="D13" s="25">
        <v>0</v>
      </c>
      <c r="E13" s="26">
        <v>0</v>
      </c>
      <c r="F13" s="90">
        <v>0</v>
      </c>
      <c r="G13" s="25">
        <v>0</v>
      </c>
      <c r="H13" s="26">
        <v>0</v>
      </c>
      <c r="I13" s="90">
        <v>0</v>
      </c>
      <c r="J13" s="25">
        <v>0</v>
      </c>
      <c r="K13" s="26">
        <v>0</v>
      </c>
      <c r="L13" s="21" t="s">
        <v>64</v>
      </c>
    </row>
    <row r="14" spans="2:12" x14ac:dyDescent="0.5">
      <c r="B14" s="28" t="s">
        <v>267</v>
      </c>
      <c r="C14" s="82">
        <v>0</v>
      </c>
      <c r="D14" s="83">
        <v>0</v>
      </c>
      <c r="E14" s="116">
        <v>0</v>
      </c>
      <c r="F14" s="82">
        <v>0</v>
      </c>
      <c r="G14" s="83">
        <v>0</v>
      </c>
      <c r="H14" s="116">
        <v>0</v>
      </c>
      <c r="I14" s="82">
        <v>0</v>
      </c>
      <c r="J14" s="83">
        <v>0</v>
      </c>
      <c r="K14" s="116">
        <v>0</v>
      </c>
      <c r="L14" s="88" t="s">
        <v>268</v>
      </c>
    </row>
    <row r="15" spans="2:12" ht="14.7" thickBot="1" x14ac:dyDescent="0.55000000000000004">
      <c r="B15" s="91" t="s">
        <v>269</v>
      </c>
      <c r="C15" s="117">
        <v>0</v>
      </c>
      <c r="D15" s="117">
        <v>0</v>
      </c>
      <c r="E15" s="118">
        <v>0</v>
      </c>
      <c r="F15" s="117">
        <v>150</v>
      </c>
      <c r="G15" s="117">
        <v>500</v>
      </c>
      <c r="H15" s="118">
        <v>250</v>
      </c>
      <c r="I15" s="117">
        <v>150</v>
      </c>
      <c r="J15" s="117">
        <v>500</v>
      </c>
      <c r="K15" s="118">
        <v>250</v>
      </c>
      <c r="L15" s="27" t="s">
        <v>61</v>
      </c>
    </row>
    <row r="17" spans="2:6" x14ac:dyDescent="0.5">
      <c r="C17" s="111"/>
      <c r="F17" s="111" t="s">
        <v>590</v>
      </c>
    </row>
    <row r="18" spans="2:6" ht="18" x14ac:dyDescent="0.6">
      <c r="B18" s="1"/>
    </row>
    <row r="21" spans="2:6" x14ac:dyDescent="0.5">
      <c r="B21" t="s">
        <v>592</v>
      </c>
      <c r="C21" t="s">
        <v>593</v>
      </c>
    </row>
    <row r="22" spans="2:6" x14ac:dyDescent="0.5">
      <c r="C22" t="s">
        <v>594</v>
      </c>
    </row>
    <row r="23" spans="2:6" x14ac:dyDescent="0.5">
      <c r="C23" t="s">
        <v>595</v>
      </c>
    </row>
  </sheetData>
  <mergeCells count="3">
    <mergeCell ref="C3:E3"/>
    <mergeCell ref="F3:H3"/>
    <mergeCell ref="I3:K3"/>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1:F17"/>
  <sheetViews>
    <sheetView workbookViewId="0">
      <selection activeCell="D24" sqref="D24"/>
    </sheetView>
  </sheetViews>
  <sheetFormatPr defaultColWidth="11.46875" defaultRowHeight="13.7" x14ac:dyDescent="0.4"/>
  <cols>
    <col min="1" max="1" width="13.17578125" style="175" bestFit="1" customWidth="1"/>
    <col min="2" max="2" width="40.17578125" style="175" bestFit="1" customWidth="1"/>
    <col min="3" max="5" width="11.46875" style="175"/>
    <col min="6" max="6" width="61.64453125" style="175" bestFit="1" customWidth="1"/>
    <col min="7" max="16384" width="11.46875" style="175"/>
  </cols>
  <sheetData>
    <row r="1" spans="1:6" ht="14.35" x14ac:dyDescent="0.5">
      <c r="A1"/>
      <c r="B1"/>
      <c r="C1"/>
      <c r="D1"/>
      <c r="E1" s="335"/>
      <c r="F1" s="335"/>
    </row>
    <row r="2" spans="1:6" x14ac:dyDescent="0.4">
      <c r="A2" s="335"/>
      <c r="B2" s="336"/>
      <c r="C2" s="183" t="s">
        <v>171</v>
      </c>
      <c r="D2" s="183" t="s">
        <v>172</v>
      </c>
      <c r="E2" s="183" t="s">
        <v>173</v>
      </c>
      <c r="F2" s="337"/>
    </row>
    <row r="3" spans="1:6" ht="14" thickBot="1" x14ac:dyDescent="0.45">
      <c r="A3" s="335"/>
      <c r="B3" s="176"/>
      <c r="C3" s="177" t="s">
        <v>69</v>
      </c>
      <c r="D3" s="177" t="s">
        <v>71</v>
      </c>
      <c r="E3" s="177" t="s">
        <v>73</v>
      </c>
      <c r="F3" s="178" t="s">
        <v>163</v>
      </c>
    </row>
    <row r="4" spans="1:6" x14ac:dyDescent="0.4">
      <c r="A4" s="335"/>
      <c r="B4" s="180" t="s">
        <v>174</v>
      </c>
      <c r="C4" s="342">
        <v>1000</v>
      </c>
      <c r="D4" s="342">
        <v>2000</v>
      </c>
      <c r="E4" s="335">
        <f>D4/C4</f>
        <v>2</v>
      </c>
      <c r="F4" s="184" t="s">
        <v>175</v>
      </c>
    </row>
    <row r="5" spans="1:6" ht="14.35" x14ac:dyDescent="0.5">
      <c r="A5" s="335"/>
      <c r="B5" s="180" t="s">
        <v>176</v>
      </c>
      <c r="C5" s="335">
        <v>5400</v>
      </c>
      <c r="D5" s="335">
        <v>5600</v>
      </c>
      <c r="E5" s="335">
        <f t="shared" ref="E5:E12" si="0">D5/C5</f>
        <v>1.037037037037037</v>
      </c>
      <c r="F5" s="128" t="s">
        <v>177</v>
      </c>
    </row>
    <row r="6" spans="1:6" ht="14.35" x14ac:dyDescent="0.5">
      <c r="A6" s="335"/>
      <c r="B6" s="180" t="s">
        <v>68</v>
      </c>
      <c r="C6" s="343">
        <v>1060000</v>
      </c>
      <c r="D6" s="335">
        <v>8500000</v>
      </c>
      <c r="E6" s="335">
        <f t="shared" si="0"/>
        <v>8.0188679245283012</v>
      </c>
      <c r="F6" s="128" t="s">
        <v>178</v>
      </c>
    </row>
    <row r="7" spans="1:6" ht="14.35" x14ac:dyDescent="0.5">
      <c r="A7" s="335"/>
      <c r="B7" s="180" t="s">
        <v>179</v>
      </c>
      <c r="C7" s="343">
        <v>300000</v>
      </c>
      <c r="D7" s="335">
        <v>1500000</v>
      </c>
      <c r="E7" s="335">
        <f t="shared" si="0"/>
        <v>5</v>
      </c>
      <c r="F7" s="128" t="s">
        <v>180</v>
      </c>
    </row>
    <row r="8" spans="1:6" x14ac:dyDescent="0.4">
      <c r="A8" s="335"/>
      <c r="B8" s="180" t="s">
        <v>181</v>
      </c>
      <c r="C8" s="335">
        <v>5</v>
      </c>
      <c r="D8" s="335">
        <v>10</v>
      </c>
      <c r="E8" s="335">
        <f t="shared" si="0"/>
        <v>2</v>
      </c>
      <c r="F8" s="184"/>
    </row>
    <row r="9" spans="1:6" ht="14.35" x14ac:dyDescent="0.5">
      <c r="A9" s="335"/>
      <c r="B9" s="180" t="s">
        <v>182</v>
      </c>
      <c r="C9" s="335">
        <v>224</v>
      </c>
      <c r="D9" s="335">
        <v>191.36</v>
      </c>
      <c r="E9" s="335">
        <f t="shared" si="0"/>
        <v>0.85428571428571431</v>
      </c>
      <c r="F9" s="128" t="s">
        <v>183</v>
      </c>
    </row>
    <row r="10" spans="1:6" x14ac:dyDescent="0.4">
      <c r="A10" s="335"/>
      <c r="B10" s="180" t="s">
        <v>184</v>
      </c>
      <c r="C10" s="335">
        <v>100</v>
      </c>
      <c r="D10" s="335">
        <v>250</v>
      </c>
      <c r="E10" s="335">
        <f t="shared" si="0"/>
        <v>2.5</v>
      </c>
      <c r="F10" s="184"/>
    </row>
    <row r="11" spans="1:6" ht="14.35" x14ac:dyDescent="0.5">
      <c r="A11" s="335"/>
      <c r="B11" s="180" t="s">
        <v>185</v>
      </c>
      <c r="C11" s="335">
        <v>50</v>
      </c>
      <c r="D11" s="335">
        <v>125</v>
      </c>
      <c r="E11" s="335">
        <f t="shared" si="0"/>
        <v>2.5</v>
      </c>
      <c r="F11" s="128" t="s">
        <v>186</v>
      </c>
    </row>
    <row r="12" spans="1:6" ht="14.35" x14ac:dyDescent="0.5">
      <c r="A12" s="335"/>
      <c r="B12" s="180" t="s">
        <v>187</v>
      </c>
      <c r="C12" s="335">
        <v>800</v>
      </c>
      <c r="D12" s="335">
        <v>2800</v>
      </c>
      <c r="E12" s="335">
        <f t="shared" si="0"/>
        <v>3.5</v>
      </c>
      <c r="F12" s="128" t="s">
        <v>188</v>
      </c>
    </row>
    <row r="13" spans="1:6" ht="14.35" x14ac:dyDescent="0.5">
      <c r="A13" s="335"/>
      <c r="B13" s="180"/>
      <c r="C13" s="335"/>
      <c r="D13" s="335"/>
      <c r="E13" s="335"/>
      <c r="F13" s="128"/>
    </row>
    <row r="14" spans="1:6" ht="14.35" x14ac:dyDescent="0.5">
      <c r="A14" s="335"/>
      <c r="B14" s="180"/>
      <c r="C14" s="335"/>
      <c r="D14" s="335"/>
      <c r="E14" s="335"/>
      <c r="F14" s="128"/>
    </row>
    <row r="15" spans="1:6" ht="14.35" x14ac:dyDescent="0.5">
      <c r="A15" s="335"/>
      <c r="B15" s="179" t="s">
        <v>189</v>
      </c>
      <c r="C15" s="335"/>
      <c r="D15" s="335"/>
      <c r="E15" s="335"/>
      <c r="F15" s="128"/>
    </row>
    <row r="16" spans="1:6" ht="14.35" x14ac:dyDescent="0.5">
      <c r="A16" s="335"/>
      <c r="B16" s="338"/>
      <c r="C16" s="335"/>
      <c r="D16" s="335"/>
      <c r="E16" s="335"/>
      <c r="F16" s="128"/>
    </row>
    <row r="17" spans="2:6" x14ac:dyDescent="0.4">
      <c r="B17" s="339"/>
      <c r="C17" s="340"/>
      <c r="D17" s="340"/>
      <c r="E17" s="340"/>
      <c r="F17" s="341"/>
    </row>
  </sheetData>
  <pageMargins left="0.7" right="0.7" top="0.78740157499999996" bottom="0.78740157499999996"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dimension ref="A1:K101"/>
  <sheetViews>
    <sheetView zoomScale="70" zoomScaleNormal="70" workbookViewId="0"/>
  </sheetViews>
  <sheetFormatPr defaultColWidth="11.46875" defaultRowHeight="13.7" x14ac:dyDescent="0.4"/>
  <cols>
    <col min="1" max="1" width="13.17578125" style="347" bestFit="1" customWidth="1"/>
    <col min="2" max="2" width="52.46875" style="347" bestFit="1" customWidth="1"/>
    <col min="3" max="3" width="26.8203125" style="347" bestFit="1" customWidth="1"/>
    <col min="4" max="4" width="17.46875" style="347" bestFit="1" customWidth="1"/>
    <col min="5" max="5" width="13.52734375" style="347" bestFit="1" customWidth="1"/>
    <col min="6" max="6" width="20.46875" style="347" bestFit="1" customWidth="1"/>
    <col min="7" max="7" width="15.64453125" style="347" bestFit="1" customWidth="1"/>
    <col min="8" max="8" width="9.17578125" style="347" bestFit="1" customWidth="1"/>
    <col min="9" max="9" width="16.8203125" style="347" bestFit="1" customWidth="1"/>
    <col min="10" max="10" width="25" style="347" customWidth="1"/>
    <col min="11" max="11" width="95" style="347" customWidth="1"/>
    <col min="12" max="12" width="22.8203125" style="347" bestFit="1" customWidth="1"/>
    <col min="13" max="13" width="12.46875" style="347" bestFit="1" customWidth="1"/>
    <col min="14" max="14" width="11.8203125" style="347" bestFit="1" customWidth="1"/>
    <col min="15" max="15" width="15.8203125" style="347" bestFit="1" customWidth="1"/>
    <col min="16" max="16" width="11.46875" style="347"/>
    <col min="17" max="17" width="10.17578125" style="347" bestFit="1" customWidth="1"/>
    <col min="18" max="16384" width="11.46875" style="347"/>
  </cols>
  <sheetData>
    <row r="1" spans="1:11" ht="14.35" x14ac:dyDescent="0.5">
      <c r="A1" s="330"/>
      <c r="B1" s="330"/>
      <c r="C1" s="330"/>
      <c r="D1" s="330"/>
      <c r="E1" s="345"/>
      <c r="F1" s="345"/>
      <c r="G1" s="345"/>
      <c r="H1" s="345"/>
      <c r="I1" s="345"/>
      <c r="J1" s="345"/>
      <c r="K1" s="345"/>
    </row>
    <row r="2" spans="1:11" x14ac:dyDescent="0.4">
      <c r="A2" s="345"/>
      <c r="B2" s="348"/>
      <c r="C2" s="349" t="s">
        <v>171</v>
      </c>
      <c r="D2" s="349" t="s">
        <v>172</v>
      </c>
      <c r="E2" s="349" t="s">
        <v>173</v>
      </c>
      <c r="F2" s="349" t="s">
        <v>162</v>
      </c>
      <c r="G2" s="349" t="s">
        <v>190</v>
      </c>
      <c r="H2" s="349"/>
      <c r="I2" s="349" t="s">
        <v>191</v>
      </c>
      <c r="J2" s="349"/>
      <c r="K2" s="350"/>
    </row>
    <row r="3" spans="1:11" ht="14" thickBot="1" x14ac:dyDescent="0.45">
      <c r="A3" s="345"/>
      <c r="B3" s="351"/>
      <c r="C3" s="352" t="s">
        <v>192</v>
      </c>
      <c r="D3" s="352" t="s">
        <v>80</v>
      </c>
      <c r="E3" s="352" t="s">
        <v>73</v>
      </c>
      <c r="F3" s="352" t="s">
        <v>81</v>
      </c>
      <c r="G3" s="352" t="s">
        <v>82</v>
      </c>
      <c r="H3" s="352" t="s">
        <v>84</v>
      </c>
      <c r="I3" s="352" t="s">
        <v>193</v>
      </c>
      <c r="J3" s="352" t="s">
        <v>194</v>
      </c>
      <c r="K3" s="353" t="s">
        <v>163</v>
      </c>
    </row>
    <row r="4" spans="1:11" x14ac:dyDescent="0.4">
      <c r="A4" s="345"/>
      <c r="B4" s="354"/>
      <c r="C4" s="355"/>
      <c r="D4" s="355"/>
      <c r="E4" s="355"/>
      <c r="F4" s="355"/>
      <c r="G4" s="355"/>
      <c r="H4" s="355"/>
      <c r="I4" s="355"/>
      <c r="J4" s="355"/>
      <c r="K4" s="356"/>
    </row>
    <row r="5" spans="1:11" ht="14" x14ac:dyDescent="0.45">
      <c r="A5" s="345"/>
      <c r="B5" s="357" t="s">
        <v>195</v>
      </c>
      <c r="C5" s="358">
        <v>1</v>
      </c>
      <c r="D5" s="358">
        <v>1</v>
      </c>
      <c r="E5" s="358">
        <v>1</v>
      </c>
      <c r="F5" s="358">
        <v>5</v>
      </c>
      <c r="G5" s="358">
        <v>0.1</v>
      </c>
      <c r="H5" s="358" t="s">
        <v>69</v>
      </c>
      <c r="I5" s="358">
        <v>10</v>
      </c>
      <c r="J5" s="358" t="s">
        <v>196</v>
      </c>
      <c r="K5" s="359" t="s">
        <v>197</v>
      </c>
    </row>
    <row r="6" spans="1:11" ht="14" x14ac:dyDescent="0.45">
      <c r="A6" s="345"/>
      <c r="B6" s="357" t="s">
        <v>198</v>
      </c>
      <c r="C6" s="358">
        <v>1000</v>
      </c>
      <c r="D6" s="358">
        <v>50</v>
      </c>
      <c r="E6" s="358">
        <f>D6/C6</f>
        <v>0.05</v>
      </c>
      <c r="F6" s="358">
        <v>1</v>
      </c>
      <c r="G6" s="358">
        <v>1</v>
      </c>
      <c r="H6" s="358" t="s">
        <v>69</v>
      </c>
      <c r="I6" s="358">
        <v>10</v>
      </c>
      <c r="J6" s="358" t="s">
        <v>196</v>
      </c>
      <c r="K6" s="359" t="s">
        <v>199</v>
      </c>
    </row>
    <row r="7" spans="1:11" ht="14" x14ac:dyDescent="0.45">
      <c r="A7" s="345"/>
      <c r="B7" s="357" t="s">
        <v>200</v>
      </c>
      <c r="C7" s="358">
        <v>1000</v>
      </c>
      <c r="D7" s="358">
        <v>50</v>
      </c>
      <c r="E7" s="358">
        <f>D7/C7</f>
        <v>0.05</v>
      </c>
      <c r="F7" s="358">
        <v>1</v>
      </c>
      <c r="G7" s="358">
        <v>0.5</v>
      </c>
      <c r="H7" s="358" t="s">
        <v>69</v>
      </c>
      <c r="I7" s="358">
        <v>10</v>
      </c>
      <c r="J7" s="358" t="s">
        <v>196</v>
      </c>
      <c r="K7" s="359" t="s">
        <v>201</v>
      </c>
    </row>
    <row r="8" spans="1:11" ht="14" x14ac:dyDescent="0.45">
      <c r="A8" s="345"/>
      <c r="B8" s="357" t="s">
        <v>202</v>
      </c>
      <c r="C8" s="358">
        <v>1000</v>
      </c>
      <c r="D8" s="358">
        <v>500</v>
      </c>
      <c r="E8" s="358">
        <f>D8/C8</f>
        <v>0.5</v>
      </c>
      <c r="F8" s="358">
        <v>5</v>
      </c>
      <c r="G8" s="358">
        <v>0.5</v>
      </c>
      <c r="H8" s="358" t="s">
        <v>69</v>
      </c>
      <c r="I8" s="358">
        <v>10</v>
      </c>
      <c r="J8" s="358" t="s">
        <v>196</v>
      </c>
      <c r="K8" s="359" t="s">
        <v>201</v>
      </c>
    </row>
    <row r="9" spans="1:11" ht="14" x14ac:dyDescent="0.45">
      <c r="A9" s="345"/>
      <c r="B9" s="357" t="s">
        <v>203</v>
      </c>
      <c r="C9" s="358">
        <v>1000</v>
      </c>
      <c r="D9" s="358">
        <v>810</v>
      </c>
      <c r="E9" s="358">
        <f>D9/C9</f>
        <v>0.81</v>
      </c>
      <c r="F9" s="358">
        <v>10</v>
      </c>
      <c r="G9" s="358">
        <v>0.8</v>
      </c>
      <c r="H9" s="358" t="s">
        <v>69</v>
      </c>
      <c r="I9" s="358">
        <v>10</v>
      </c>
      <c r="J9" s="358" t="s">
        <v>196</v>
      </c>
      <c r="K9" s="359" t="s">
        <v>204</v>
      </c>
    </row>
    <row r="10" spans="1:11" ht="14" x14ac:dyDescent="0.45">
      <c r="A10" s="345"/>
      <c r="B10" s="357" t="s">
        <v>205</v>
      </c>
      <c r="C10" s="358">
        <v>1000</v>
      </c>
      <c r="D10" s="358">
        <v>250</v>
      </c>
      <c r="E10" s="358">
        <f t="shared" ref="E10:E15" si="0">D10/C10</f>
        <v>0.25</v>
      </c>
      <c r="F10" s="358">
        <v>20</v>
      </c>
      <c r="G10" s="358">
        <v>0.5</v>
      </c>
      <c r="H10" s="358" t="s">
        <v>71</v>
      </c>
      <c r="I10" s="358">
        <v>10</v>
      </c>
      <c r="J10" s="358" t="s">
        <v>196</v>
      </c>
      <c r="K10" s="359" t="s">
        <v>204</v>
      </c>
    </row>
    <row r="11" spans="1:11" ht="14" x14ac:dyDescent="0.45">
      <c r="A11" s="345"/>
      <c r="B11" s="357" t="s">
        <v>206</v>
      </c>
      <c r="C11" s="358">
        <v>400</v>
      </c>
      <c r="D11" s="358">
        <v>100</v>
      </c>
      <c r="E11" s="358">
        <f t="shared" si="0"/>
        <v>0.25</v>
      </c>
      <c r="F11" s="358">
        <v>80</v>
      </c>
      <c r="G11" s="358">
        <v>2</v>
      </c>
      <c r="H11" s="358" t="s">
        <v>71</v>
      </c>
      <c r="I11" s="358">
        <v>10</v>
      </c>
      <c r="J11" s="358" t="s">
        <v>196</v>
      </c>
      <c r="K11" s="359" t="s">
        <v>207</v>
      </c>
    </row>
    <row r="12" spans="1:11" ht="14" x14ac:dyDescent="0.45">
      <c r="A12" s="345"/>
      <c r="B12" s="357" t="s">
        <v>208</v>
      </c>
      <c r="C12" s="358">
        <v>1400</v>
      </c>
      <c r="D12" s="358">
        <v>910</v>
      </c>
      <c r="E12" s="358">
        <f t="shared" si="0"/>
        <v>0.65</v>
      </c>
      <c r="F12" s="358">
        <v>50</v>
      </c>
      <c r="G12" s="358">
        <v>1.5</v>
      </c>
      <c r="H12" s="358" t="s">
        <v>69</v>
      </c>
      <c r="I12" s="358">
        <v>10</v>
      </c>
      <c r="J12" s="358" t="s">
        <v>196</v>
      </c>
      <c r="K12" s="359" t="s">
        <v>209</v>
      </c>
    </row>
    <row r="13" spans="1:11" ht="14" x14ac:dyDescent="0.45">
      <c r="A13" s="345"/>
      <c r="B13" s="357" t="s">
        <v>210</v>
      </c>
      <c r="C13" s="358">
        <v>1400</v>
      </c>
      <c r="D13" s="358">
        <v>350</v>
      </c>
      <c r="E13" s="358">
        <f t="shared" si="0"/>
        <v>0.25</v>
      </c>
      <c r="F13" s="358">
        <v>50</v>
      </c>
      <c r="G13" s="358">
        <v>1.2</v>
      </c>
      <c r="H13" s="358" t="s">
        <v>71</v>
      </c>
      <c r="I13" s="358">
        <v>10</v>
      </c>
      <c r="J13" s="358" t="s">
        <v>196</v>
      </c>
      <c r="K13" s="359" t="s">
        <v>209</v>
      </c>
    </row>
    <row r="14" spans="1:11" ht="14" x14ac:dyDescent="0.45">
      <c r="A14" s="345"/>
      <c r="B14" s="357" t="s">
        <v>211</v>
      </c>
      <c r="C14" s="358">
        <v>2400</v>
      </c>
      <c r="D14" s="358">
        <v>1160</v>
      </c>
      <c r="E14" s="358">
        <f>D14/C14</f>
        <v>0.48333333333333334</v>
      </c>
      <c r="F14" s="358">
        <v>70</v>
      </c>
      <c r="G14" s="358">
        <v>2</v>
      </c>
      <c r="H14" s="358" t="s">
        <v>71</v>
      </c>
      <c r="I14" s="358">
        <v>10</v>
      </c>
      <c r="J14" s="358" t="s">
        <v>196</v>
      </c>
      <c r="K14" s="359" t="s">
        <v>209</v>
      </c>
    </row>
    <row r="15" spans="1:11" ht="14" x14ac:dyDescent="0.45">
      <c r="A15" s="345"/>
      <c r="B15" s="360" t="s">
        <v>212</v>
      </c>
      <c r="C15" s="361">
        <v>2.5</v>
      </c>
      <c r="D15" s="361">
        <v>5</v>
      </c>
      <c r="E15" s="361">
        <f t="shared" si="0"/>
        <v>2</v>
      </c>
      <c r="F15" s="361">
        <v>80</v>
      </c>
      <c r="G15" s="361">
        <f>220/365</f>
        <v>0.60273972602739723</v>
      </c>
      <c r="H15" s="361" t="s">
        <v>71</v>
      </c>
      <c r="I15" s="361">
        <v>29</v>
      </c>
      <c r="J15" s="361" t="s">
        <v>213</v>
      </c>
      <c r="K15" s="362" t="s">
        <v>214</v>
      </c>
    </row>
    <row r="16" spans="1:11" ht="14" x14ac:dyDescent="0.45">
      <c r="A16" s="345"/>
      <c r="B16" s="363" t="s">
        <v>215</v>
      </c>
      <c r="C16" s="361">
        <v>224</v>
      </c>
      <c r="D16" s="361"/>
      <c r="E16" s="361">
        <f>191.36/224</f>
        <v>0.85428571428571431</v>
      </c>
      <c r="F16" s="361">
        <v>60</v>
      </c>
      <c r="G16" s="361">
        <v>1</v>
      </c>
      <c r="H16" s="361" t="s">
        <v>71</v>
      </c>
      <c r="I16" s="361">
        <v>29</v>
      </c>
      <c r="J16" s="361" t="s">
        <v>213</v>
      </c>
      <c r="K16" s="362" t="s">
        <v>183</v>
      </c>
    </row>
    <row r="17" spans="2:11" ht="14" x14ac:dyDescent="0.45">
      <c r="B17" s="363" t="s">
        <v>78</v>
      </c>
      <c r="C17" s="361">
        <v>12</v>
      </c>
      <c r="D17" s="361"/>
      <c r="E17" s="361">
        <v>2</v>
      </c>
      <c r="F17" s="361">
        <v>20</v>
      </c>
      <c r="G17" s="361">
        <v>0.1</v>
      </c>
      <c r="H17" s="361" t="s">
        <v>69</v>
      </c>
      <c r="I17" s="361">
        <v>29</v>
      </c>
      <c r="J17" s="361" t="s">
        <v>213</v>
      </c>
      <c r="K17" s="362" t="s">
        <v>216</v>
      </c>
    </row>
    <row r="18" spans="2:11" ht="14" x14ac:dyDescent="0.45">
      <c r="B18" s="363" t="s">
        <v>217</v>
      </c>
      <c r="C18" s="361">
        <v>200</v>
      </c>
      <c r="D18" s="361"/>
      <c r="E18" s="361">
        <v>0.3</v>
      </c>
      <c r="F18" s="361">
        <v>25</v>
      </c>
      <c r="G18" s="361">
        <f>20/365</f>
        <v>5.4794520547945202E-2</v>
      </c>
      <c r="H18" s="361"/>
      <c r="I18" s="361">
        <v>18</v>
      </c>
      <c r="J18" s="361" t="s">
        <v>213</v>
      </c>
      <c r="K18" s="362" t="s">
        <v>216</v>
      </c>
    </row>
    <row r="19" spans="2:11" ht="14" x14ac:dyDescent="0.45">
      <c r="B19" s="363" t="s">
        <v>218</v>
      </c>
      <c r="C19" s="361">
        <v>5</v>
      </c>
      <c r="D19" s="361"/>
      <c r="E19" s="361">
        <v>4</v>
      </c>
      <c r="F19" s="361">
        <v>80</v>
      </c>
      <c r="G19" s="361">
        <v>1</v>
      </c>
      <c r="H19" s="361"/>
      <c r="I19" s="361">
        <v>20</v>
      </c>
      <c r="J19" s="361" t="s">
        <v>213</v>
      </c>
      <c r="K19" s="362"/>
    </row>
    <row r="20" spans="2:11" ht="14" x14ac:dyDescent="0.45">
      <c r="B20" s="364" t="s">
        <v>219</v>
      </c>
      <c r="C20" s="365">
        <v>0.2</v>
      </c>
      <c r="D20" s="365"/>
      <c r="E20" s="365">
        <v>2</v>
      </c>
      <c r="F20" s="365">
        <v>2</v>
      </c>
      <c r="G20" s="365">
        <v>0.85</v>
      </c>
      <c r="H20" s="365"/>
      <c r="I20" s="365">
        <v>100</v>
      </c>
      <c r="J20" s="365" t="s">
        <v>220</v>
      </c>
      <c r="K20" s="366" t="s">
        <v>221</v>
      </c>
    </row>
    <row r="21" spans="2:11" ht="14" x14ac:dyDescent="0.45">
      <c r="B21" s="364" t="s">
        <v>222</v>
      </c>
      <c r="C21" s="365">
        <v>50</v>
      </c>
      <c r="D21" s="365"/>
      <c r="E21" s="365">
        <v>2.5</v>
      </c>
      <c r="F21" s="365">
        <v>2.5</v>
      </c>
      <c r="G21" s="365">
        <v>0.9</v>
      </c>
      <c r="H21" s="365"/>
      <c r="I21" s="365">
        <v>100</v>
      </c>
      <c r="J21" s="365" t="s">
        <v>220</v>
      </c>
      <c r="K21" s="366" t="s">
        <v>186</v>
      </c>
    </row>
    <row r="22" spans="2:11" ht="14" x14ac:dyDescent="0.45">
      <c r="B22" s="364" t="s">
        <v>223</v>
      </c>
      <c r="C22" s="365">
        <v>800</v>
      </c>
      <c r="D22" s="365"/>
      <c r="E22" s="365">
        <f>2800/800</f>
        <v>3.5</v>
      </c>
      <c r="F22" s="365">
        <v>3.5</v>
      </c>
      <c r="G22" s="365">
        <v>1</v>
      </c>
      <c r="H22" s="365"/>
      <c r="I22" s="365">
        <v>100</v>
      </c>
      <c r="J22" s="365" t="s">
        <v>220</v>
      </c>
      <c r="K22" s="366" t="s">
        <v>188</v>
      </c>
    </row>
    <row r="23" spans="2:11" x14ac:dyDescent="0.4">
      <c r="B23" s="354"/>
      <c r="C23" s="345"/>
      <c r="D23" s="345"/>
      <c r="E23" s="345"/>
      <c r="F23" s="345"/>
      <c r="G23" s="345"/>
      <c r="H23" s="345"/>
      <c r="I23" s="345"/>
      <c r="J23" s="345"/>
      <c r="K23" s="367"/>
    </row>
    <row r="24" spans="2:11" x14ac:dyDescent="0.4">
      <c r="B24" s="368" t="s">
        <v>224</v>
      </c>
      <c r="C24" s="345"/>
      <c r="D24" s="345"/>
      <c r="E24" s="345"/>
      <c r="F24" s="345"/>
      <c r="G24" s="345"/>
      <c r="H24" s="345"/>
      <c r="I24" s="345"/>
      <c r="J24" s="345"/>
      <c r="K24" s="367"/>
    </row>
    <row r="25" spans="2:11" x14ac:dyDescent="0.4">
      <c r="B25" s="369"/>
      <c r="C25" s="345"/>
      <c r="D25" s="345"/>
      <c r="E25" s="345"/>
      <c r="F25" s="345"/>
      <c r="G25" s="345"/>
      <c r="H25" s="345"/>
      <c r="I25" s="345"/>
      <c r="J25" s="345"/>
      <c r="K25" s="367"/>
    </row>
    <row r="26" spans="2:11" x14ac:dyDescent="0.4">
      <c r="B26" s="369"/>
      <c r="C26" s="345"/>
      <c r="D26" s="345"/>
      <c r="E26" s="345"/>
      <c r="F26" s="345"/>
      <c r="G26" s="345"/>
      <c r="H26" s="345"/>
      <c r="I26" s="345"/>
      <c r="J26" s="345"/>
      <c r="K26" s="367"/>
    </row>
    <row r="27" spans="2:11" x14ac:dyDescent="0.4">
      <c r="B27" s="369"/>
      <c r="C27" s="345"/>
      <c r="D27" s="345"/>
      <c r="E27" s="345"/>
      <c r="F27" s="345"/>
      <c r="G27" s="345"/>
      <c r="H27" s="345"/>
      <c r="I27" s="345"/>
      <c r="J27" s="345"/>
      <c r="K27" s="367"/>
    </row>
    <row r="28" spans="2:11" x14ac:dyDescent="0.4">
      <c r="B28" s="369"/>
      <c r="C28" s="345"/>
      <c r="D28" s="345"/>
      <c r="E28" s="345"/>
      <c r="F28" s="345"/>
      <c r="G28" s="345"/>
      <c r="H28" s="345"/>
      <c r="I28" s="345"/>
      <c r="J28" s="345"/>
      <c r="K28" s="367"/>
    </row>
    <row r="29" spans="2:11" x14ac:dyDescent="0.4">
      <c r="B29" s="369"/>
      <c r="C29" s="345"/>
      <c r="D29" s="345"/>
      <c r="E29" s="345"/>
      <c r="F29" s="345"/>
      <c r="G29" s="345"/>
      <c r="H29" s="345"/>
      <c r="I29" s="345"/>
      <c r="J29" s="345"/>
      <c r="K29" s="367"/>
    </row>
    <row r="30" spans="2:11" x14ac:dyDescent="0.4">
      <c r="B30" s="369"/>
      <c r="C30" s="345"/>
      <c r="D30" s="345"/>
      <c r="E30" s="345"/>
      <c r="F30" s="345"/>
      <c r="G30" s="345"/>
      <c r="H30" s="345"/>
      <c r="I30" s="345"/>
      <c r="J30" s="345"/>
      <c r="K30" s="367"/>
    </row>
    <row r="31" spans="2:11" x14ac:dyDescent="0.4">
      <c r="B31" s="369"/>
      <c r="C31" s="345"/>
      <c r="D31" s="345"/>
      <c r="E31" s="345"/>
      <c r="F31" s="345"/>
      <c r="G31" s="345"/>
      <c r="H31" s="345"/>
      <c r="I31" s="345"/>
      <c r="J31" s="345"/>
      <c r="K31" s="367"/>
    </row>
    <row r="32" spans="2:11" x14ac:dyDescent="0.4">
      <c r="B32" s="369"/>
      <c r="C32" s="345"/>
      <c r="D32" s="345"/>
      <c r="E32" s="345"/>
      <c r="F32" s="345"/>
      <c r="G32" s="345"/>
      <c r="H32" s="345"/>
      <c r="I32" s="345"/>
      <c r="J32" s="345"/>
      <c r="K32" s="367"/>
    </row>
    <row r="33" spans="2:11" x14ac:dyDescent="0.4">
      <c r="B33" s="369"/>
      <c r="C33" s="345"/>
      <c r="D33" s="345"/>
      <c r="E33" s="345"/>
      <c r="F33" s="345"/>
      <c r="G33" s="345"/>
      <c r="H33" s="345"/>
      <c r="I33" s="345"/>
      <c r="J33" s="345"/>
      <c r="K33" s="367"/>
    </row>
    <row r="34" spans="2:11" x14ac:dyDescent="0.4">
      <c r="B34" s="369"/>
      <c r="C34" s="345"/>
      <c r="D34" s="345"/>
      <c r="E34" s="345"/>
      <c r="F34" s="345"/>
      <c r="G34" s="345"/>
      <c r="H34" s="345"/>
      <c r="I34" s="345"/>
      <c r="J34" s="345"/>
      <c r="K34" s="367"/>
    </row>
    <row r="35" spans="2:11" x14ac:dyDescent="0.4">
      <c r="B35" s="369"/>
      <c r="C35" s="345"/>
      <c r="D35" s="345"/>
      <c r="E35" s="345"/>
      <c r="F35" s="345"/>
      <c r="G35" s="345"/>
      <c r="H35" s="345"/>
      <c r="I35" s="345"/>
      <c r="J35" s="345"/>
      <c r="K35" s="367"/>
    </row>
    <row r="36" spans="2:11" x14ac:dyDescent="0.4">
      <c r="B36" s="369"/>
      <c r="C36" s="345"/>
      <c r="D36" s="345"/>
      <c r="E36" s="345"/>
      <c r="F36" s="345"/>
      <c r="G36" s="345"/>
      <c r="H36" s="345"/>
      <c r="I36" s="345"/>
      <c r="J36" s="345"/>
      <c r="K36" s="367"/>
    </row>
    <row r="37" spans="2:11" x14ac:dyDescent="0.4">
      <c r="B37" s="369"/>
      <c r="C37" s="345"/>
      <c r="D37" s="345"/>
      <c r="E37" s="345"/>
      <c r="F37" s="345"/>
      <c r="G37" s="345"/>
      <c r="H37" s="345"/>
      <c r="I37" s="345"/>
      <c r="J37" s="345"/>
      <c r="K37" s="367"/>
    </row>
    <row r="38" spans="2:11" x14ac:dyDescent="0.4">
      <c r="B38" s="369"/>
      <c r="C38" s="345"/>
      <c r="D38" s="345"/>
      <c r="E38" s="345"/>
      <c r="F38" s="345"/>
      <c r="G38" s="345"/>
      <c r="H38" s="345"/>
      <c r="I38" s="345"/>
      <c r="J38" s="345"/>
      <c r="K38" s="367"/>
    </row>
    <row r="39" spans="2:11" x14ac:dyDescent="0.4">
      <c r="B39" s="369"/>
      <c r="C39" s="345"/>
      <c r="D39" s="345"/>
      <c r="E39" s="345"/>
      <c r="F39" s="345"/>
      <c r="G39" s="345"/>
      <c r="H39" s="345"/>
      <c r="I39" s="345"/>
      <c r="J39" s="345"/>
      <c r="K39" s="367"/>
    </row>
    <row r="40" spans="2:11" x14ac:dyDescent="0.4">
      <c r="B40" s="369"/>
      <c r="C40" s="345"/>
      <c r="D40" s="345"/>
      <c r="E40" s="345"/>
      <c r="F40" s="345"/>
      <c r="G40" s="345"/>
      <c r="H40" s="345"/>
      <c r="I40" s="345"/>
      <c r="J40" s="345"/>
      <c r="K40" s="367"/>
    </row>
    <row r="41" spans="2:11" x14ac:dyDescent="0.4">
      <c r="B41" s="369"/>
      <c r="C41" s="345"/>
      <c r="D41" s="345"/>
      <c r="E41" s="345"/>
      <c r="F41" s="345"/>
      <c r="G41" s="345"/>
      <c r="H41" s="345"/>
      <c r="I41" s="345"/>
      <c r="J41" s="345"/>
      <c r="K41" s="367"/>
    </row>
    <row r="42" spans="2:11" x14ac:dyDescent="0.4">
      <c r="B42" s="369"/>
      <c r="C42" s="345"/>
      <c r="D42" s="345"/>
      <c r="E42" s="345"/>
      <c r="F42" s="345"/>
      <c r="G42" s="345"/>
      <c r="H42" s="345"/>
      <c r="I42" s="345"/>
      <c r="J42" s="345"/>
      <c r="K42" s="367"/>
    </row>
    <row r="43" spans="2:11" x14ac:dyDescent="0.4">
      <c r="B43" s="369"/>
      <c r="C43" s="345"/>
      <c r="D43" s="345"/>
      <c r="E43" s="345"/>
      <c r="F43" s="345"/>
      <c r="G43" s="345"/>
      <c r="H43" s="345"/>
      <c r="I43" s="345"/>
      <c r="J43" s="345"/>
      <c r="K43" s="367"/>
    </row>
    <row r="44" spans="2:11" x14ac:dyDescent="0.4">
      <c r="B44" s="369"/>
      <c r="C44" s="345"/>
      <c r="D44" s="345"/>
      <c r="E44" s="345"/>
      <c r="F44" s="345"/>
      <c r="G44" s="345"/>
      <c r="H44" s="345"/>
      <c r="I44" s="345"/>
      <c r="J44" s="345"/>
      <c r="K44" s="367"/>
    </row>
    <row r="45" spans="2:11" x14ac:dyDescent="0.4">
      <c r="B45" s="369"/>
      <c r="C45" s="345"/>
      <c r="D45" s="345"/>
      <c r="E45" s="345"/>
      <c r="F45" s="345"/>
      <c r="G45" s="345"/>
      <c r="H45" s="345"/>
      <c r="I45" s="345"/>
      <c r="J45" s="345"/>
      <c r="K45" s="367"/>
    </row>
    <row r="46" spans="2:11" x14ac:dyDescent="0.4">
      <c r="B46" s="369"/>
      <c r="C46" s="345"/>
      <c r="D46" s="345"/>
      <c r="E46" s="345"/>
      <c r="F46" s="345"/>
      <c r="G46" s="345"/>
      <c r="H46" s="345"/>
      <c r="I46" s="345"/>
      <c r="J46" s="345"/>
      <c r="K46" s="367"/>
    </row>
    <row r="47" spans="2:11" x14ac:dyDescent="0.4">
      <c r="B47" s="370"/>
      <c r="C47" s="371"/>
      <c r="D47" s="371"/>
      <c r="E47" s="371"/>
      <c r="F47" s="371"/>
      <c r="G47" s="371"/>
      <c r="H47" s="371"/>
      <c r="I47" s="371"/>
      <c r="J47" s="371"/>
      <c r="K47" s="372"/>
    </row>
    <row r="56" spans="2:4" x14ac:dyDescent="0.4">
      <c r="B56" s="332"/>
      <c r="C56" s="345"/>
      <c r="D56" s="345"/>
    </row>
    <row r="57" spans="2:4" x14ac:dyDescent="0.4">
      <c r="B57" s="332"/>
      <c r="C57" s="345"/>
      <c r="D57" s="345"/>
    </row>
    <row r="58" spans="2:4" x14ac:dyDescent="0.4">
      <c r="B58" s="332"/>
      <c r="C58" s="345"/>
      <c r="D58" s="346"/>
    </row>
    <row r="59" spans="2:4" x14ac:dyDescent="0.4">
      <c r="B59" s="345"/>
      <c r="C59" s="345"/>
      <c r="D59" s="346"/>
    </row>
    <row r="60" spans="2:4" x14ac:dyDescent="0.4">
      <c r="B60" s="345"/>
      <c r="C60" s="345"/>
      <c r="D60" s="346"/>
    </row>
    <row r="61" spans="2:4" x14ac:dyDescent="0.4">
      <c r="B61" s="345"/>
      <c r="C61" s="345"/>
      <c r="D61" s="346"/>
    </row>
    <row r="62" spans="2:4" x14ac:dyDescent="0.4">
      <c r="B62" s="345"/>
      <c r="C62" s="345"/>
      <c r="D62" s="346"/>
    </row>
    <row r="63" spans="2:4" x14ac:dyDescent="0.4">
      <c r="B63" s="345"/>
      <c r="C63" s="345"/>
      <c r="D63" s="346"/>
    </row>
    <row r="64" spans="2:4" x14ac:dyDescent="0.4">
      <c r="B64" s="345"/>
      <c r="C64" s="345"/>
      <c r="D64" s="346"/>
    </row>
    <row r="65" spans="4:4" x14ac:dyDescent="0.4">
      <c r="D65" s="346"/>
    </row>
    <row r="66" spans="4:4" x14ac:dyDescent="0.4">
      <c r="D66" s="346"/>
    </row>
    <row r="67" spans="4:4" x14ac:dyDescent="0.4">
      <c r="D67" s="346"/>
    </row>
    <row r="68" spans="4:4" x14ac:dyDescent="0.4">
      <c r="D68" s="346"/>
    </row>
    <row r="69" spans="4:4" x14ac:dyDescent="0.4">
      <c r="D69" s="346"/>
    </row>
    <row r="70" spans="4:4" x14ac:dyDescent="0.4">
      <c r="D70" s="346"/>
    </row>
    <row r="71" spans="4:4" x14ac:dyDescent="0.4">
      <c r="D71" s="346"/>
    </row>
    <row r="72" spans="4:4" x14ac:dyDescent="0.4">
      <c r="D72" s="346"/>
    </row>
    <row r="73" spans="4:4" x14ac:dyDescent="0.4">
      <c r="D73" s="346"/>
    </row>
    <row r="74" spans="4:4" x14ac:dyDescent="0.4">
      <c r="D74" s="346"/>
    </row>
    <row r="75" spans="4:4" x14ac:dyDescent="0.4">
      <c r="D75" s="346"/>
    </row>
    <row r="76" spans="4:4" x14ac:dyDescent="0.4">
      <c r="D76" s="346"/>
    </row>
    <row r="77" spans="4:4" x14ac:dyDescent="0.4">
      <c r="D77" s="346"/>
    </row>
    <row r="81" spans="2:4" x14ac:dyDescent="0.4">
      <c r="B81" s="345"/>
      <c r="C81" s="345"/>
      <c r="D81" s="345"/>
    </row>
    <row r="82" spans="2:4" x14ac:dyDescent="0.4">
      <c r="B82" s="345"/>
      <c r="C82" s="345"/>
      <c r="D82" s="346"/>
    </row>
    <row r="83" spans="2:4" x14ac:dyDescent="0.4">
      <c r="B83" s="345"/>
      <c r="C83" s="345"/>
      <c r="D83" s="346"/>
    </row>
    <row r="84" spans="2:4" x14ac:dyDescent="0.4">
      <c r="B84" s="345"/>
      <c r="C84" s="345"/>
      <c r="D84" s="346"/>
    </row>
    <row r="85" spans="2:4" x14ac:dyDescent="0.4">
      <c r="B85" s="345"/>
      <c r="C85" s="345"/>
      <c r="D85" s="346"/>
    </row>
    <row r="86" spans="2:4" x14ac:dyDescent="0.4">
      <c r="B86" s="345"/>
      <c r="C86" s="345"/>
      <c r="D86" s="346"/>
    </row>
    <row r="87" spans="2:4" x14ac:dyDescent="0.4">
      <c r="B87" s="345"/>
      <c r="C87" s="345"/>
      <c r="D87" s="346"/>
    </row>
    <row r="88" spans="2:4" x14ac:dyDescent="0.4">
      <c r="B88" s="345"/>
      <c r="C88" s="345"/>
      <c r="D88" s="346"/>
    </row>
    <row r="89" spans="2:4" x14ac:dyDescent="0.4">
      <c r="B89" s="345"/>
      <c r="C89" s="345"/>
      <c r="D89" s="346"/>
    </row>
    <row r="90" spans="2:4" x14ac:dyDescent="0.4">
      <c r="B90" s="345"/>
      <c r="C90" s="345"/>
      <c r="D90" s="346"/>
    </row>
    <row r="91" spans="2:4" x14ac:dyDescent="0.4">
      <c r="B91" s="345"/>
      <c r="C91" s="345"/>
      <c r="D91" s="346"/>
    </row>
    <row r="92" spans="2:4" x14ac:dyDescent="0.4">
      <c r="B92" s="345"/>
      <c r="C92" s="345"/>
      <c r="D92" s="346"/>
    </row>
    <row r="93" spans="2:4" x14ac:dyDescent="0.4">
      <c r="B93" s="345"/>
      <c r="C93" s="345"/>
      <c r="D93" s="346"/>
    </row>
    <row r="94" spans="2:4" x14ac:dyDescent="0.4">
      <c r="B94" s="345"/>
      <c r="C94" s="345"/>
      <c r="D94" s="346"/>
    </row>
    <row r="95" spans="2:4" x14ac:dyDescent="0.4">
      <c r="B95" s="345"/>
      <c r="C95" s="345"/>
      <c r="D95" s="346"/>
    </row>
    <row r="96" spans="2:4" x14ac:dyDescent="0.4">
      <c r="B96" s="345"/>
      <c r="C96" s="345"/>
      <c r="D96" s="346"/>
    </row>
    <row r="97" spans="4:4" x14ac:dyDescent="0.4">
      <c r="D97" s="346"/>
    </row>
    <row r="98" spans="4:4" x14ac:dyDescent="0.4">
      <c r="D98" s="346"/>
    </row>
    <row r="99" spans="4:4" x14ac:dyDescent="0.4">
      <c r="D99" s="346"/>
    </row>
    <row r="100" spans="4:4" x14ac:dyDescent="0.4">
      <c r="D100" s="346"/>
    </row>
    <row r="101" spans="4:4" x14ac:dyDescent="0.4">
      <c r="D101" s="346"/>
    </row>
  </sheetData>
  <sheetProtection algorithmName="SHA-512" hashValue="FBT+mKXOXDQuH2xFJqJ/VjcmRuVnFVfDMOsh2ccIIied4VDpxszS45TZu+1TKZ8+8BtV/fZBzsGEnXtaSrpRhg==" saltValue="nJZpDGusWA3RxvLL8S+XMQ==" spinCount="100000" sheet="1" objects="1" scenarios="1"/>
  <pageMargins left="0.7" right="0.7" top="0.78740157499999996" bottom="0.78740157499999996" header="0.3" footer="0.3"/>
  <pageSetup paperSize="9"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FF3C0-97F0-4161-AD73-2149C7C97313}">
  <dimension ref="A2:J53"/>
  <sheetViews>
    <sheetView zoomScale="80" zoomScaleNormal="80" workbookViewId="0">
      <selection activeCell="B12" sqref="B12"/>
    </sheetView>
  </sheetViews>
  <sheetFormatPr defaultColWidth="11.46875" defaultRowHeight="13.7" x14ac:dyDescent="0.4"/>
  <cols>
    <col min="1" max="1" width="13.17578125" style="297" bestFit="1" customWidth="1"/>
    <col min="2" max="2" width="52.46875" style="297" bestFit="1" customWidth="1"/>
    <col min="3" max="3" width="26.8203125" style="297" bestFit="1" customWidth="1"/>
    <col min="4" max="4" width="17.46875" style="297" bestFit="1" customWidth="1"/>
    <col min="5" max="5" width="13.52734375" style="297" bestFit="1" customWidth="1"/>
    <col min="6" max="6" width="20.46875" style="297" bestFit="1" customWidth="1"/>
    <col min="7" max="7" width="15.64453125" style="297" bestFit="1" customWidth="1"/>
    <col min="8" max="8" width="9.17578125" style="297" bestFit="1" customWidth="1"/>
    <col min="9" max="9" width="16.8203125" style="297" bestFit="1" customWidth="1"/>
    <col min="10" max="10" width="95" style="297" customWidth="1"/>
    <col min="11" max="11" width="22.8203125" style="297" bestFit="1" customWidth="1"/>
    <col min="12" max="12" width="12.46875" style="297" bestFit="1" customWidth="1"/>
    <col min="13" max="13" width="11.8203125" style="297" bestFit="1" customWidth="1"/>
    <col min="14" max="14" width="15.8203125" style="297" bestFit="1" customWidth="1"/>
    <col min="15" max="15" width="11.46875" style="297"/>
    <col min="16" max="16" width="10.17578125" style="297" bestFit="1" customWidth="1"/>
    <col min="17" max="16384" width="11.46875" style="297"/>
  </cols>
  <sheetData>
    <row r="2" spans="1:10" x14ac:dyDescent="0.4">
      <c r="A2" s="298" t="s">
        <v>225</v>
      </c>
      <c r="B2" s="298"/>
      <c r="C2" s="298"/>
      <c r="D2" s="298"/>
      <c r="E2" s="298"/>
      <c r="F2" s="298"/>
      <c r="G2" s="298"/>
      <c r="H2" s="298"/>
      <c r="I2" s="298"/>
      <c r="J2" s="298"/>
    </row>
    <row r="6" spans="1:10" x14ac:dyDescent="0.4">
      <c r="A6" s="298"/>
      <c r="B6" s="345"/>
      <c r="C6" s="345"/>
      <c r="D6" s="345"/>
      <c r="E6" s="345"/>
      <c r="F6" s="345"/>
      <c r="G6" s="345"/>
      <c r="H6" s="345"/>
      <c r="I6" s="345"/>
      <c r="J6" s="345"/>
    </row>
    <row r="7" spans="1:10" x14ac:dyDescent="0.4">
      <c r="A7" s="298"/>
      <c r="B7" s="345"/>
      <c r="C7" s="345"/>
      <c r="D7" s="345"/>
      <c r="E7" s="345"/>
      <c r="F7" s="345"/>
      <c r="G7" s="345"/>
      <c r="H7" s="345"/>
      <c r="I7" s="345"/>
      <c r="J7" s="345"/>
    </row>
    <row r="8" spans="1:10" x14ac:dyDescent="0.4">
      <c r="A8" s="298"/>
      <c r="B8" s="332" t="s">
        <v>226</v>
      </c>
      <c r="C8" s="345">
        <v>2</v>
      </c>
      <c r="D8" s="345"/>
      <c r="E8" s="345"/>
      <c r="F8" s="345"/>
      <c r="G8" s="345"/>
      <c r="H8" s="345"/>
      <c r="I8" s="345"/>
      <c r="J8" s="345"/>
    </row>
    <row r="9" spans="1:10" x14ac:dyDescent="0.4">
      <c r="A9" s="298"/>
      <c r="B9" s="332" t="s">
        <v>227</v>
      </c>
      <c r="C9" s="345">
        <v>10000</v>
      </c>
      <c r="D9" s="345"/>
      <c r="E9" s="345"/>
      <c r="F9" s="345"/>
      <c r="G9" s="345"/>
      <c r="H9" s="345"/>
      <c r="I9" s="345"/>
      <c r="J9" s="345"/>
    </row>
    <row r="10" spans="1:10" x14ac:dyDescent="0.4">
      <c r="A10" s="298"/>
      <c r="B10" s="332" t="s">
        <v>228</v>
      </c>
      <c r="C10" s="345">
        <v>5</v>
      </c>
      <c r="D10" s="346">
        <f>$C$9*((C10/100)^-$C$8)*C10/100</f>
        <v>199999.99999999997</v>
      </c>
      <c r="E10" s="345"/>
      <c r="F10" s="345"/>
      <c r="G10" s="345"/>
      <c r="H10" s="345"/>
      <c r="I10" s="345"/>
      <c r="J10" s="345"/>
    </row>
    <row r="11" spans="1:10" x14ac:dyDescent="0.4">
      <c r="A11" s="298"/>
      <c r="B11" s="345"/>
      <c r="C11" s="345">
        <v>10</v>
      </c>
      <c r="D11" s="346">
        <f t="shared" ref="D11:D29" si="0">$C$9*((C11/100)^-$C$8)*C11/100</f>
        <v>99999.999999999985</v>
      </c>
      <c r="E11" s="345"/>
      <c r="F11" s="345"/>
      <c r="G11" s="345"/>
      <c r="H11" s="345"/>
      <c r="I11" s="345"/>
      <c r="J11" s="345"/>
    </row>
    <row r="12" spans="1:10" x14ac:dyDescent="0.4">
      <c r="A12" s="298"/>
      <c r="B12" s="345"/>
      <c r="C12" s="345">
        <v>15</v>
      </c>
      <c r="D12" s="346">
        <f t="shared" si="0"/>
        <v>66666.666666666672</v>
      </c>
      <c r="E12" s="345"/>
      <c r="F12" s="345"/>
      <c r="G12" s="345"/>
      <c r="H12" s="345"/>
      <c r="I12" s="345"/>
      <c r="J12" s="345"/>
    </row>
    <row r="13" spans="1:10" x14ac:dyDescent="0.4">
      <c r="A13" s="298"/>
      <c r="B13" s="345"/>
      <c r="C13" s="345">
        <v>20</v>
      </c>
      <c r="D13" s="346">
        <f t="shared" si="0"/>
        <v>49999.999999999993</v>
      </c>
      <c r="E13" s="345"/>
      <c r="F13" s="345"/>
      <c r="G13" s="345"/>
      <c r="H13" s="345"/>
      <c r="I13" s="345"/>
      <c r="J13" s="345"/>
    </row>
    <row r="14" spans="1:10" x14ac:dyDescent="0.4">
      <c r="A14" s="298"/>
      <c r="B14" s="345"/>
      <c r="C14" s="345">
        <v>25</v>
      </c>
      <c r="D14" s="346">
        <f t="shared" si="0"/>
        <v>40000</v>
      </c>
      <c r="E14" s="345"/>
      <c r="F14" s="345"/>
      <c r="G14" s="345"/>
      <c r="H14" s="345"/>
      <c r="I14" s="345"/>
      <c r="J14" s="345"/>
    </row>
    <row r="15" spans="1:10" x14ac:dyDescent="0.4">
      <c r="A15" s="298"/>
      <c r="B15" s="345"/>
      <c r="C15" s="345">
        <v>30</v>
      </c>
      <c r="D15" s="346">
        <f t="shared" si="0"/>
        <v>33333.333333333336</v>
      </c>
      <c r="E15" s="345"/>
      <c r="F15" s="345"/>
      <c r="G15" s="345"/>
      <c r="H15" s="345"/>
      <c r="I15" s="345"/>
      <c r="J15" s="345"/>
    </row>
    <row r="16" spans="1:10" x14ac:dyDescent="0.4">
      <c r="A16" s="298"/>
      <c r="B16" s="345"/>
      <c r="C16" s="345">
        <v>35</v>
      </c>
      <c r="D16" s="346">
        <f t="shared" si="0"/>
        <v>28571.428571428576</v>
      </c>
      <c r="E16" s="345"/>
      <c r="F16" s="345"/>
      <c r="G16" s="345"/>
      <c r="H16" s="345"/>
      <c r="I16" s="345"/>
      <c r="J16" s="345"/>
    </row>
    <row r="17" spans="2:10" x14ac:dyDescent="0.4">
      <c r="B17" s="345"/>
      <c r="C17" s="345">
        <v>40</v>
      </c>
      <c r="D17" s="346">
        <f t="shared" si="0"/>
        <v>24999.999999999996</v>
      </c>
      <c r="E17" s="345"/>
      <c r="F17" s="345"/>
      <c r="G17" s="345"/>
      <c r="H17" s="345"/>
      <c r="I17" s="345"/>
      <c r="J17" s="345"/>
    </row>
    <row r="18" spans="2:10" x14ac:dyDescent="0.4">
      <c r="B18" s="345"/>
      <c r="C18" s="345">
        <v>45</v>
      </c>
      <c r="D18" s="346">
        <f t="shared" si="0"/>
        <v>22222.222222222219</v>
      </c>
      <c r="E18" s="345"/>
      <c r="F18" s="345"/>
      <c r="G18" s="345"/>
      <c r="H18" s="345"/>
      <c r="I18" s="345"/>
      <c r="J18" s="345"/>
    </row>
    <row r="19" spans="2:10" x14ac:dyDescent="0.4">
      <c r="B19" s="345"/>
      <c r="C19" s="345">
        <v>50</v>
      </c>
      <c r="D19" s="346">
        <f t="shared" si="0"/>
        <v>20000</v>
      </c>
      <c r="E19" s="345"/>
      <c r="F19" s="345"/>
      <c r="G19" s="345"/>
      <c r="H19" s="345"/>
      <c r="I19" s="345"/>
      <c r="J19" s="345"/>
    </row>
    <row r="20" spans="2:10" x14ac:dyDescent="0.4">
      <c r="B20" s="345"/>
      <c r="C20" s="345">
        <v>55</v>
      </c>
      <c r="D20" s="346">
        <f t="shared" si="0"/>
        <v>18181.81818181818</v>
      </c>
      <c r="E20" s="345"/>
      <c r="F20" s="345"/>
      <c r="G20" s="345"/>
      <c r="H20" s="345"/>
      <c r="I20" s="345"/>
      <c r="J20" s="345"/>
    </row>
    <row r="21" spans="2:10" x14ac:dyDescent="0.4">
      <c r="B21" s="345"/>
      <c r="C21" s="345">
        <v>60</v>
      </c>
      <c r="D21" s="346">
        <f t="shared" si="0"/>
        <v>16666.666666666668</v>
      </c>
      <c r="E21" s="345"/>
      <c r="F21" s="345"/>
      <c r="G21" s="345"/>
      <c r="H21" s="345"/>
      <c r="I21" s="345"/>
      <c r="J21" s="345"/>
    </row>
    <row r="22" spans="2:10" x14ac:dyDescent="0.4">
      <c r="B22" s="345"/>
      <c r="C22" s="345">
        <v>65</v>
      </c>
      <c r="D22" s="346">
        <f t="shared" si="0"/>
        <v>15384.615384615383</v>
      </c>
      <c r="E22" s="345"/>
      <c r="F22" s="345"/>
      <c r="G22" s="345"/>
      <c r="H22" s="345"/>
      <c r="I22" s="345"/>
      <c r="J22" s="345"/>
    </row>
    <row r="23" spans="2:10" x14ac:dyDescent="0.4">
      <c r="B23" s="345"/>
      <c r="C23" s="345">
        <v>70</v>
      </c>
      <c r="D23" s="346">
        <f t="shared" si="0"/>
        <v>14285.714285714288</v>
      </c>
      <c r="E23" s="345"/>
      <c r="F23" s="345"/>
      <c r="G23" s="345"/>
      <c r="H23" s="345"/>
      <c r="I23" s="345"/>
      <c r="J23" s="345"/>
    </row>
    <row r="24" spans="2:10" x14ac:dyDescent="0.4">
      <c r="B24" s="345"/>
      <c r="C24" s="345">
        <v>75</v>
      </c>
      <c r="D24" s="346">
        <f t="shared" si="0"/>
        <v>13333.333333333332</v>
      </c>
      <c r="E24" s="345"/>
      <c r="F24" s="345"/>
      <c r="G24" s="345"/>
      <c r="H24" s="345"/>
      <c r="I24" s="345"/>
      <c r="J24" s="345"/>
    </row>
    <row r="25" spans="2:10" x14ac:dyDescent="0.4">
      <c r="B25" s="345"/>
      <c r="C25" s="345">
        <v>80</v>
      </c>
      <c r="D25" s="346">
        <f t="shared" si="0"/>
        <v>12499.999999999998</v>
      </c>
      <c r="E25" s="345"/>
      <c r="F25" s="345"/>
      <c r="G25" s="345"/>
      <c r="H25" s="345"/>
      <c r="I25" s="345"/>
      <c r="J25" s="345"/>
    </row>
    <row r="26" spans="2:10" x14ac:dyDescent="0.4">
      <c r="B26" s="345"/>
      <c r="C26" s="345">
        <v>85</v>
      </c>
      <c r="D26" s="346">
        <f t="shared" si="0"/>
        <v>11764.705882352942</v>
      </c>
      <c r="E26" s="345"/>
      <c r="F26" s="345"/>
      <c r="G26" s="345"/>
      <c r="H26" s="345"/>
      <c r="I26" s="345"/>
      <c r="J26" s="345"/>
    </row>
    <row r="27" spans="2:10" x14ac:dyDescent="0.4">
      <c r="B27" s="345"/>
      <c r="C27" s="345">
        <v>90</v>
      </c>
      <c r="D27" s="346">
        <f t="shared" si="0"/>
        <v>11111.111111111109</v>
      </c>
      <c r="E27" s="345"/>
      <c r="F27" s="345"/>
      <c r="G27" s="345"/>
      <c r="H27" s="345"/>
      <c r="I27" s="345"/>
      <c r="J27" s="345"/>
    </row>
    <row r="28" spans="2:10" x14ac:dyDescent="0.4">
      <c r="B28" s="345"/>
      <c r="C28" s="345">
        <v>95</v>
      </c>
      <c r="D28" s="346">
        <f t="shared" si="0"/>
        <v>10526.315789473685</v>
      </c>
      <c r="E28" s="345"/>
      <c r="F28" s="345"/>
      <c r="G28" s="345"/>
      <c r="H28" s="345"/>
      <c r="I28" s="345"/>
      <c r="J28" s="345"/>
    </row>
    <row r="29" spans="2:10" x14ac:dyDescent="0.4">
      <c r="B29" s="345"/>
      <c r="C29" s="345">
        <v>100</v>
      </c>
      <c r="D29" s="346">
        <f t="shared" si="0"/>
        <v>10000</v>
      </c>
      <c r="E29" s="345"/>
      <c r="F29" s="345"/>
      <c r="G29" s="345"/>
      <c r="H29" s="345"/>
      <c r="I29" s="345"/>
      <c r="J29" s="345"/>
    </row>
    <row r="30" spans="2:10" x14ac:dyDescent="0.4">
      <c r="B30" s="345"/>
      <c r="C30" s="345"/>
      <c r="D30" s="345"/>
      <c r="E30" s="345"/>
      <c r="F30" s="345"/>
      <c r="G30" s="345"/>
      <c r="H30" s="345"/>
      <c r="I30" s="345"/>
      <c r="J30" s="345"/>
    </row>
    <row r="33" spans="2:4" x14ac:dyDescent="0.4">
      <c r="B33" s="298"/>
      <c r="C33" s="298"/>
      <c r="D33" s="298"/>
    </row>
    <row r="34" spans="2:4" x14ac:dyDescent="0.4">
      <c r="B34" s="298"/>
      <c r="C34" s="298"/>
      <c r="D34" s="344"/>
    </row>
    <row r="35" spans="2:4" x14ac:dyDescent="0.4">
      <c r="B35" s="298"/>
      <c r="C35" s="298"/>
      <c r="D35" s="344"/>
    </row>
    <row r="36" spans="2:4" x14ac:dyDescent="0.4">
      <c r="B36" s="298"/>
      <c r="C36" s="298"/>
      <c r="D36" s="344"/>
    </row>
    <row r="37" spans="2:4" x14ac:dyDescent="0.4">
      <c r="B37" s="298"/>
      <c r="C37" s="298"/>
      <c r="D37" s="344"/>
    </row>
    <row r="38" spans="2:4" x14ac:dyDescent="0.4">
      <c r="B38" s="298"/>
      <c r="C38" s="298"/>
      <c r="D38" s="344"/>
    </row>
    <row r="39" spans="2:4" x14ac:dyDescent="0.4">
      <c r="B39" s="298"/>
      <c r="C39" s="298"/>
      <c r="D39" s="344"/>
    </row>
    <row r="40" spans="2:4" x14ac:dyDescent="0.4">
      <c r="B40" s="298"/>
      <c r="C40" s="298"/>
      <c r="D40" s="344"/>
    </row>
    <row r="41" spans="2:4" x14ac:dyDescent="0.4">
      <c r="B41" s="298"/>
      <c r="C41" s="298"/>
      <c r="D41" s="344"/>
    </row>
    <row r="42" spans="2:4" x14ac:dyDescent="0.4">
      <c r="B42" s="298"/>
      <c r="C42" s="298"/>
      <c r="D42" s="344"/>
    </row>
    <row r="43" spans="2:4" x14ac:dyDescent="0.4">
      <c r="B43" s="298"/>
      <c r="C43" s="298"/>
      <c r="D43" s="344"/>
    </row>
    <row r="44" spans="2:4" x14ac:dyDescent="0.4">
      <c r="B44" s="298"/>
      <c r="C44" s="298"/>
      <c r="D44" s="344"/>
    </row>
    <row r="45" spans="2:4" x14ac:dyDescent="0.4">
      <c r="B45" s="298"/>
      <c r="C45" s="298"/>
      <c r="D45" s="344"/>
    </row>
    <row r="46" spans="2:4" x14ac:dyDescent="0.4">
      <c r="B46" s="298"/>
      <c r="C46" s="298"/>
      <c r="D46" s="344"/>
    </row>
    <row r="47" spans="2:4" x14ac:dyDescent="0.4">
      <c r="B47" s="298"/>
      <c r="C47" s="298"/>
      <c r="D47" s="344"/>
    </row>
    <row r="48" spans="2:4" x14ac:dyDescent="0.4">
      <c r="B48" s="298"/>
      <c r="C48" s="298"/>
      <c r="D48" s="344"/>
    </row>
    <row r="49" spans="4:4" x14ac:dyDescent="0.4">
      <c r="D49" s="344"/>
    </row>
    <row r="50" spans="4:4" x14ac:dyDescent="0.4">
      <c r="D50" s="344"/>
    </row>
    <row r="51" spans="4:4" x14ac:dyDescent="0.4">
      <c r="D51" s="344"/>
    </row>
    <row r="52" spans="4:4" x14ac:dyDescent="0.4">
      <c r="D52" s="344"/>
    </row>
    <row r="53" spans="4:4" x14ac:dyDescent="0.4">
      <c r="D53" s="344"/>
    </row>
  </sheetData>
  <pageMargins left="0.7" right="0.7" top="0.78740157499999996" bottom="0.78740157499999996" header="0.3" footer="0.3"/>
  <pageSetup paperSize="9"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624A5-84FF-41F4-8DF2-BBF4BED6EE05}">
  <dimension ref="B2:Z2"/>
  <sheetViews>
    <sheetView workbookViewId="0"/>
  </sheetViews>
  <sheetFormatPr defaultColWidth="8.64453125" defaultRowHeight="14.35" x14ac:dyDescent="0.5"/>
  <cols>
    <col min="1" max="16384" width="8.64453125" style="13"/>
  </cols>
  <sheetData>
    <row r="2" spans="2:26" x14ac:dyDescent="0.5">
      <c r="B2" s="296" t="s">
        <v>229</v>
      </c>
      <c r="C2" s="295"/>
      <c r="D2" s="295"/>
      <c r="E2" s="295"/>
      <c r="F2" s="295"/>
      <c r="G2" s="295"/>
      <c r="H2" s="295"/>
      <c r="I2" s="295"/>
      <c r="J2" s="295"/>
      <c r="K2" s="295"/>
      <c r="L2" s="295"/>
      <c r="M2" s="295"/>
      <c r="N2" s="295"/>
      <c r="O2" s="295"/>
      <c r="P2" s="295"/>
      <c r="Q2" s="295"/>
      <c r="R2" s="295"/>
      <c r="S2" s="295"/>
      <c r="T2" s="295"/>
      <c r="U2" s="295"/>
      <c r="V2" s="295"/>
      <c r="W2" s="295"/>
      <c r="X2" s="295"/>
      <c r="Y2" s="295"/>
      <c r="Z2" s="295"/>
    </row>
  </sheetData>
  <sheetProtection algorithmName="SHA-512" hashValue="ZI33W/+fZjsN9psnnCsT8NEbSAXS8xyF+FvsqDmLMEMhKDIXWwOeRKq1ez1/vseuJqk7VmxHLYpx2llQc+jPNQ==" saltValue="Il4E9kgJ7rSMcvx565wt9A=="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f45aff3-a7a2-41f0-ab5b-6413c9f8f026">
      <Terms xmlns="http://schemas.microsoft.com/office/infopath/2007/PartnerControls"/>
    </lcf76f155ced4ddcb4097134ff3c332f>
    <TaxCatchAll xmlns="41716e50-967f-4e51-b181-3ce9a8b2b56b"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BD91D6B188ED5C4889F884B4578D9F9B" ma:contentTypeVersion="18" ma:contentTypeDescription="Create a new document." ma:contentTypeScope="" ma:versionID="ca2c867f7ef80b623c4bc160e5e4ab2c">
  <xsd:schema xmlns:xsd="http://www.w3.org/2001/XMLSchema" xmlns:xs="http://www.w3.org/2001/XMLSchema" xmlns:p="http://schemas.microsoft.com/office/2006/metadata/properties" xmlns:ns2="9f45aff3-a7a2-41f0-ab5b-6413c9f8f026" xmlns:ns3="41716e50-967f-4e51-b181-3ce9a8b2b56b" targetNamespace="http://schemas.microsoft.com/office/2006/metadata/properties" ma:root="true" ma:fieldsID="38651b287c742f174629134a6f91ed0e" ns2:_="" ns3:_="">
    <xsd:import namespace="9f45aff3-a7a2-41f0-ab5b-6413c9f8f026"/>
    <xsd:import namespace="41716e50-967f-4e51-b181-3ce9a8b2b56b"/>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f45aff3-a7a2-41f0-ab5b-6413c9f8f02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65a77ea5-3d14-4585-9531-26d6f492a402"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indexed="true" ma:internalName="MediaServiceLocation" ma:readOnly="true">
      <xsd:simpleType>
        <xsd:restriction base="dms:Text"/>
      </xsd:simple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1716e50-967f-4e51-b181-3ce9a8b2b56b"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29f1020-b2c8-4dc5-9252-fd50547812e1}" ma:internalName="TaxCatchAll" ma:showField="CatchAllData" ma:web="41716e50-967f-4e51-b181-3ce9a8b2b56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FD64DFE-E5BC-4EE7-8A9B-90C04289FAF3}">
  <ds:schemaRefs>
    <ds:schemaRef ds:uri="http://schemas.microsoft.com/office/2006/metadata/properties"/>
    <ds:schemaRef ds:uri="http://schemas.microsoft.com/office/infopath/2007/PartnerControls"/>
    <ds:schemaRef ds:uri="9f45aff3-a7a2-41f0-ab5b-6413c9f8f026"/>
    <ds:schemaRef ds:uri="41716e50-967f-4e51-b181-3ce9a8b2b56b"/>
  </ds:schemaRefs>
</ds:datastoreItem>
</file>

<file path=customXml/itemProps2.xml><?xml version="1.0" encoding="utf-8"?>
<ds:datastoreItem xmlns:ds="http://schemas.openxmlformats.org/officeDocument/2006/customXml" ds:itemID="{F5A0EF42-AFEA-4A12-9264-6351F8D9119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f45aff3-a7a2-41f0-ab5b-6413c9f8f026"/>
    <ds:schemaRef ds:uri="41716e50-967f-4e51-b181-3ce9a8b2b5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B5B2D5E-1D64-49EA-94F3-74A450DA3C7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3</vt:i4>
      </vt:variant>
    </vt:vector>
  </HeadingPairs>
  <TitlesOfParts>
    <vt:vector size="53" baseType="lpstr">
      <vt:lpstr>FrontPage</vt:lpstr>
      <vt:lpstr>Instructions</vt:lpstr>
      <vt:lpstr>Cost-of-Service</vt:lpstr>
      <vt:lpstr>Visualization</vt:lpstr>
      <vt:lpstr>Grid Connection</vt:lpstr>
      <vt:lpstr>Storage Size</vt:lpstr>
      <vt:lpstr>Applications</vt:lpstr>
      <vt:lpstr>Wohler-Curve</vt:lpstr>
      <vt:lpstr>Methodology</vt:lpstr>
      <vt:lpstr>List of PCUs</vt:lpstr>
      <vt:lpstr>List of Storage Technologies</vt:lpstr>
      <vt:lpstr>Financials</vt:lpstr>
      <vt:lpstr>Overview 2016 (in)</vt:lpstr>
      <vt:lpstr>Pumped Hydro (calc)</vt:lpstr>
      <vt:lpstr>Pumped Hydro</vt:lpstr>
      <vt:lpstr>CAES (calc)</vt:lpstr>
      <vt:lpstr>CAES</vt:lpstr>
      <vt:lpstr>Flywheel (calc)</vt:lpstr>
      <vt:lpstr>Flywheel</vt:lpstr>
      <vt:lpstr>Flooded LA (calc)</vt:lpstr>
      <vt:lpstr>Flooded LA</vt:lpstr>
      <vt:lpstr>VRLA (calc)</vt:lpstr>
      <vt:lpstr>VRLA</vt:lpstr>
      <vt:lpstr>Li-Ion (NMC) (calc)</vt:lpstr>
      <vt:lpstr>Li-Ion (NMC)</vt:lpstr>
      <vt:lpstr>Li-Ion (LFP) (calc)</vt:lpstr>
      <vt:lpstr>Li-Ion (LFP)</vt:lpstr>
      <vt:lpstr>Li-Ion (Titanate) (calc)</vt:lpstr>
      <vt:lpstr>Li-Ion (Titanate)</vt:lpstr>
      <vt:lpstr>SIB (Layered oxide) (calc)</vt:lpstr>
      <vt:lpstr>SIB (Layered oxide)</vt:lpstr>
      <vt:lpstr>ZnBr (Zinc ion) (calc)</vt:lpstr>
      <vt:lpstr>ZnBr (Zinc ion)</vt:lpstr>
      <vt:lpstr>NaNiCl (calc)</vt:lpstr>
      <vt:lpstr>NaNiCl</vt:lpstr>
      <vt:lpstr>NaS (calc)</vt:lpstr>
      <vt:lpstr>NaS</vt:lpstr>
      <vt:lpstr>Vanadium Flow (calc)</vt:lpstr>
      <vt:lpstr>Vanadium Flow</vt:lpstr>
      <vt:lpstr>ZnBr Flow (calc)</vt:lpstr>
      <vt:lpstr>ZnBr Flow</vt:lpstr>
      <vt:lpstr>Inverter small (calc)</vt:lpstr>
      <vt:lpstr>Inverter small</vt:lpstr>
      <vt:lpstr>Inverter large (calc)</vt:lpstr>
      <vt:lpstr>Inverter large</vt:lpstr>
      <vt:lpstr>No Inverter</vt:lpstr>
      <vt:lpstr>Generator PHS</vt:lpstr>
      <vt:lpstr>Generator CAES</vt:lpstr>
      <vt:lpstr>Generator Flywheel</vt:lpstr>
      <vt:lpstr>Modular Multilevel Converter</vt:lpstr>
      <vt:lpstr>Applications</vt:lpstr>
      <vt:lpstr>'List of PCUs'!Speichertechnologien</vt:lpstr>
      <vt:lpstr>Speichertechnologien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2006-09-16T00:00:00Z</dcterms:created>
  <dcterms:modified xsi:type="dcterms:W3CDTF">2026-02-26T08:17:13Z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0x010100BD91D6B188ED5C4889F884B4578D9F9B</vt:lpwstr>
  </property>
  <property fmtid="{D5CDD505-2E9C-101B-9397-08002B2CF9AE}" pid="3" name="MediaServiceImageTags">
    <vt:lpwstr/>
  </property>
  <property fmtid="{D5CDD505-2E9C-101B-9397-08002B2CF9AE}" pid="4" name="{A44787D4-0540-4523-9961-78E4036D8C6D}">
    <vt:lpwstr>{E2BB6273-7B77-459E-9A7C-2537A8997939}</vt:lpwstr>
  </property>
</Properties>
</file>